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210" windowWidth="11100" windowHeight="6345" firstSheet="1" activeTab="1"/>
  </bookViews>
  <sheets>
    <sheet name="Affordable proforma" sheetId="1" r:id="rId1"/>
    <sheet name="assumptions" sheetId="2" r:id="rId2"/>
    <sheet name="projections" sheetId="3" r:id="rId3"/>
    <sheet name="Mortgage" sheetId="4" r:id="rId4"/>
    <sheet name="Depreciation" sheetId="5" r:id="rId5"/>
  </sheets>
  <externalReferences>
    <externalReference r:id="rId8"/>
  </externalReferences>
  <definedNames>
    <definedName name="_Order1" hidden="1">255</definedName>
    <definedName name="_Order2" hidden="1">255</definedName>
    <definedName name="_xlnm.Print_Area" localSheetId="2">'projections'!$A$1:$AS$47</definedName>
    <definedName name="_xlnm.Print_Titles" localSheetId="2">'projections'!$A:$A</definedName>
    <definedName name="Print_Titles_MI">'[1]51BUD99'!$2:$10,'[1]51BUD99'!$B:$D</definedName>
    <definedName name="Units" localSheetId="2">'projections'!$B$4</definedName>
    <definedName name="Units">'Affordable proforma'!$B$7</definedName>
  </definedNames>
  <calcPr fullCalcOnLoad="1"/>
</workbook>
</file>

<file path=xl/sharedStrings.xml><?xml version="1.0" encoding="utf-8"?>
<sst xmlns="http://schemas.openxmlformats.org/spreadsheetml/2006/main" count="279" uniqueCount="167">
  <si>
    <t>Number of Units</t>
  </si>
  <si>
    <t>Income</t>
  </si>
  <si>
    <t>Pro Forma</t>
  </si>
  <si>
    <t>Gross Rental Income (% Incr.)</t>
  </si>
  <si>
    <t>Less Vacancy</t>
  </si>
  <si>
    <t>Net Rental Income</t>
  </si>
  <si>
    <t>Other Income</t>
  </si>
  <si>
    <t>Total Income from Operations</t>
  </si>
  <si>
    <t>Total Adjustments</t>
  </si>
  <si>
    <t>Total Cash Income</t>
  </si>
  <si>
    <t>Expenses</t>
  </si>
  <si>
    <t>Administrative</t>
  </si>
  <si>
    <t>Utility</t>
  </si>
  <si>
    <t>Taxes &amp; Insurance</t>
  </si>
  <si>
    <t>Total Operating Expenses</t>
  </si>
  <si>
    <t>PUPA</t>
  </si>
  <si>
    <t>NOI</t>
  </si>
  <si>
    <t>Less Repl. Reserves</t>
  </si>
  <si>
    <t>Underwriting NOI</t>
  </si>
  <si>
    <t>Indicated Loan Amount</t>
  </si>
  <si>
    <t>Indicated Payment</t>
  </si>
  <si>
    <t>Term (Years)</t>
  </si>
  <si>
    <t>Loan Amount</t>
  </si>
  <si>
    <t>per unit</t>
  </si>
  <si>
    <t>Cash Flow After Debt Service</t>
  </si>
  <si>
    <t>Less:</t>
  </si>
  <si>
    <t>MIP</t>
  </si>
  <si>
    <t>Actual Vacancy</t>
  </si>
  <si>
    <t>Term</t>
  </si>
  <si>
    <t>Monthly Payment</t>
  </si>
  <si>
    <t>Annual Payment</t>
  </si>
  <si>
    <t>Amount</t>
  </si>
  <si>
    <t>Rate</t>
  </si>
  <si>
    <t>Months</t>
  </si>
  <si>
    <t>Interest</t>
  </si>
  <si>
    <t>Amortization Table</t>
  </si>
  <si>
    <t>Beginning</t>
  </si>
  <si>
    <t>Principal</t>
  </si>
  <si>
    <t>Ending</t>
  </si>
  <si>
    <t>Period</t>
  </si>
  <si>
    <t>Payment</t>
  </si>
  <si>
    <t>Annual</t>
  </si>
  <si>
    <t>Mortgage Insurance Premium</t>
  </si>
  <si>
    <t>Mortgage</t>
  </si>
  <si>
    <t>Interest on Mortgage</t>
  </si>
  <si>
    <t>Less Principal Payment</t>
  </si>
  <si>
    <t>Net Cash Flow</t>
  </si>
  <si>
    <t>Esc.</t>
  </si>
  <si>
    <t>Year 1</t>
  </si>
  <si>
    <t>Year 2</t>
  </si>
  <si>
    <t>Year 3</t>
  </si>
  <si>
    <t>Year 4</t>
  </si>
  <si>
    <t>Year 5</t>
  </si>
  <si>
    <t>Year 6</t>
  </si>
  <si>
    <t>Year 7</t>
  </si>
  <si>
    <t>Year 8</t>
  </si>
  <si>
    <t>Year 9</t>
  </si>
  <si>
    <t>Year 10</t>
  </si>
  <si>
    <t>+</t>
  </si>
  <si>
    <t>Change In</t>
  </si>
  <si>
    <t>%</t>
  </si>
  <si>
    <t>Change</t>
  </si>
  <si>
    <t>NOI after Reserves</t>
  </si>
  <si>
    <t>Year 11</t>
  </si>
  <si>
    <t>Year 12</t>
  </si>
  <si>
    <t>Year 13</t>
  </si>
  <si>
    <t>Year 14</t>
  </si>
  <si>
    <t>Year 15</t>
  </si>
  <si>
    <t>Year 16</t>
  </si>
  <si>
    <t>Year 17</t>
  </si>
  <si>
    <t>Year 18</t>
  </si>
  <si>
    <t>Year 19</t>
  </si>
  <si>
    <t>Year 20</t>
  </si>
  <si>
    <t>Depreciation</t>
  </si>
  <si>
    <t>Sept. 1, 2001</t>
  </si>
  <si>
    <t>Total Purchase Price</t>
  </si>
  <si>
    <t>Value of Land (per Unit)</t>
  </si>
  <si>
    <t>Depreciable Basis</t>
  </si>
  <si>
    <t>Class Life</t>
  </si>
  <si>
    <t>Years</t>
  </si>
  <si>
    <t>Annual Depreciation</t>
  </si>
  <si>
    <t>Less Replacement Reserve</t>
  </si>
  <si>
    <t>of the Assets</t>
  </si>
  <si>
    <t xml:space="preserve">Potential Reclassification of </t>
  </si>
  <si>
    <t xml:space="preserve">Reclassification of </t>
  </si>
  <si>
    <t>in Assets</t>
  </si>
  <si>
    <t>New Class Life</t>
  </si>
  <si>
    <t>Original Assets</t>
  </si>
  <si>
    <t>Reclassified Assets</t>
  </si>
  <si>
    <t>Total Depreciation</t>
  </si>
  <si>
    <t>Standard 27.5 Year Depreciation Schedule</t>
  </si>
  <si>
    <t>Year 21</t>
  </si>
  <si>
    <t>Year 22</t>
  </si>
  <si>
    <t>Year 23</t>
  </si>
  <si>
    <t>Year 24</t>
  </si>
  <si>
    <t>Year 25</t>
  </si>
  <si>
    <t>Year 26</t>
  </si>
  <si>
    <t>Year 27</t>
  </si>
  <si>
    <t>Year 28</t>
  </si>
  <si>
    <t xml:space="preserve">Net Present Value at </t>
  </si>
  <si>
    <t>Increase in Net Present Value of Depreciation</t>
  </si>
  <si>
    <t>Increase in Depreciation</t>
  </si>
  <si>
    <t>Tax Savings Created (rate)</t>
  </si>
  <si>
    <t>Assuming Reversion at Year 10</t>
  </si>
  <si>
    <t>Cumulative Effect on Capital Account</t>
  </si>
  <si>
    <t>Tax on Gain at Reversion</t>
  </si>
  <si>
    <t>Total Increase in Depreciation</t>
  </si>
  <si>
    <t>Avg rent</t>
  </si>
  <si>
    <t>avg rent</t>
  </si>
  <si>
    <t>Median Income</t>
  </si>
  <si>
    <t xml:space="preserve">% of median </t>
  </si>
  <si>
    <t>rent</t>
  </si>
  <si>
    <t xml:space="preserve">Maintenance </t>
  </si>
  <si>
    <t>Monthly payment</t>
  </si>
  <si>
    <t>monthly interest rate</t>
  </si>
  <si>
    <t>Interest rate</t>
  </si>
  <si>
    <t>Proforma</t>
  </si>
  <si>
    <t xml:space="preserve">Net Income </t>
  </si>
  <si>
    <t>Cumulative Repl Reserve</t>
  </si>
  <si>
    <t>Income Tax</t>
  </si>
  <si>
    <t>After tax Cash Flow</t>
  </si>
  <si>
    <t>Tax Exempt r/r earnings</t>
  </si>
  <si>
    <t>Cumulative Earnings</t>
  </si>
  <si>
    <t>Rehab Expenditure</t>
  </si>
  <si>
    <t>Rehab Depreciation</t>
  </si>
  <si>
    <t>27.5yrs</t>
  </si>
  <si>
    <t>Assumptions</t>
  </si>
  <si>
    <t>Targets Income levels of 60 to 100% of median</t>
  </si>
  <si>
    <t>Less than 60% of median to get voucher assistance at underwriting rent level</t>
  </si>
  <si>
    <t>Tennants pay 30% of income for rents(27% not including utilities)</t>
  </si>
  <si>
    <t>Cost per unit including 10% developers fee</t>
  </si>
  <si>
    <t>Land per unit</t>
  </si>
  <si>
    <t>Operating costs per unit</t>
  </si>
  <si>
    <t>Utilities per unit  per month</t>
  </si>
  <si>
    <t>Replacement Reserves set to totally rehab at 20 yrs</t>
  </si>
  <si>
    <t>Rents and median income rise at 3% annually</t>
  </si>
  <si>
    <t>No cash flow or rent restriction</t>
  </si>
  <si>
    <t>Mortgage 100% of cost</t>
  </si>
  <si>
    <t>Affordability restrictions run for 40 year minimum</t>
  </si>
  <si>
    <t>After 40 years if affordability restrictions removed 50% of equity to go back to government</t>
  </si>
  <si>
    <t>Underwriting determines interest rate</t>
  </si>
  <si>
    <t xml:space="preserve">If GNMA were to back liquidity and guarantee on a lower floater a rate of 4 to 4.5% is possible </t>
  </si>
  <si>
    <t>If 4.25% is the rate payment is</t>
  </si>
  <si>
    <t>vs</t>
  </si>
  <si>
    <t>or</t>
  </si>
  <si>
    <t>subsidy is</t>
  </si>
  <si>
    <t>per unit per annum</t>
  </si>
  <si>
    <t>*</t>
  </si>
  <si>
    <t>Units</t>
  </si>
  <si>
    <t>Underwriting Rent % of median</t>
  </si>
  <si>
    <t>Underwriting rent</t>
  </si>
  <si>
    <t xml:space="preserve">An upfront buy down would be approx </t>
  </si>
  <si>
    <t>Expenses ecalation annual</t>
  </si>
  <si>
    <t>Underwriting Cash Flow per Unit 10% of gross rent</t>
  </si>
  <si>
    <t>Underwriting Cash Flow % of gross rent</t>
  </si>
  <si>
    <t>proper physical condition of property. To be paid on a 20 year schedule.</t>
  </si>
  <si>
    <t>Cost</t>
  </si>
  <si>
    <t>Deffered Dev Fee</t>
  </si>
  <si>
    <t>utilities per month</t>
  </si>
  <si>
    <t>Deferred Developers Fee</t>
  </si>
  <si>
    <t>Rural Affordable Housing Production</t>
  </si>
  <si>
    <t>Rural Affordable Housing Production Program</t>
  </si>
  <si>
    <t>Rural Affordable New Production</t>
  </si>
  <si>
    <t>Defered Developers Fee paid from surplus cash after all reserves, expenses, and mortgage payments made and subject to</t>
  </si>
  <si>
    <t>Defered Developers Fee</t>
  </si>
  <si>
    <t>Defered Fee interest rate</t>
  </si>
  <si>
    <t>total/yr</t>
  </si>
</sst>
</file>

<file path=xl/styles.xml><?xml version="1.0" encoding="utf-8"?>
<styleSheet xmlns="http://schemas.openxmlformats.org/spreadsheetml/2006/main">
  <numFmts count="5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  <numFmt numFmtId="167" formatCode="&quot;$&quot;#,##0.0_);\(&quot;$&quot;#,##0.0\)"/>
    <numFmt numFmtId="168" formatCode="0.000%"/>
    <numFmt numFmtId="169" formatCode="0.0000%"/>
    <numFmt numFmtId="170" formatCode="&quot;$&quot;#,##0.0000_);\(&quot;$&quot;#,##0.0000\)"/>
    <numFmt numFmtId="171" formatCode="&quot;$&quot;#,##0.0_);[Red]\(&quot;$&quot;#,##0.0\)"/>
    <numFmt numFmtId="172" formatCode="0.00000%"/>
    <numFmt numFmtId="173" formatCode="&quot;$&quot;#,##0.000_);\(&quot;$&quot;#,##0.000\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_(* #,##0.000_);_(* \(#,##0.000\);_(* &quot;-&quot;??_);_(@_)"/>
    <numFmt numFmtId="178" formatCode="0.00000"/>
    <numFmt numFmtId="179" formatCode="0.0000"/>
    <numFmt numFmtId="180" formatCode="0.000"/>
    <numFmt numFmtId="181" formatCode="_(&quot;$&quot;* #,##0.0_);_(&quot;$&quot;* \(#,##0.0\);_(&quot;$&quot;* &quot;-&quot;??_);_(@_)"/>
    <numFmt numFmtId="182" formatCode="_(&quot;$&quot;* #,##0.000_);_(&quot;$&quot;* \(#,##0.000\);_(&quot;$&quot;* &quot;-&quot;??_);_(@_)"/>
    <numFmt numFmtId="183" formatCode="_(&quot;$&quot;* #,##0.0000_);_(&quot;$&quot;* \(#,##0.0000\);_(&quot;$&quot;* &quot;-&quot;??_);_(@_)"/>
    <numFmt numFmtId="184" formatCode="_(&quot;$&quot;* #,##0.00000_);_(&quot;$&quot;* \(#,##0.00000\);_(&quot;$&quot;* &quot;-&quot;??_);_(@_)"/>
    <numFmt numFmtId="185" formatCode="_(* #,##0.0000_);_(* \(#,##0.0000\);_(* &quot;-&quot;??_);_(@_)"/>
    <numFmt numFmtId="186" formatCode="_(* #,##0.00000_);_(* \(#,##0.00000\);_(* &quot;-&quot;??_);_(@_)"/>
    <numFmt numFmtId="187" formatCode="_(* #,##0.000000_);_(* \(#,##0.000000\);_(* &quot;-&quot;??_);_(@_)"/>
    <numFmt numFmtId="188" formatCode="0.000000"/>
    <numFmt numFmtId="189" formatCode="0.0000000"/>
    <numFmt numFmtId="190" formatCode="0.00000000"/>
    <numFmt numFmtId="191" formatCode="0.000000000"/>
    <numFmt numFmtId="192" formatCode="0.0000000000"/>
    <numFmt numFmtId="193" formatCode="_(&quot;$&quot;* #,##0_);_(&quot;$&quot;* \(#,##0\);_(&quot;$&quot;* &quot;-&quot;??_);_(@_)"/>
    <numFmt numFmtId="194" formatCode="0.0"/>
    <numFmt numFmtId="195" formatCode="_4\,000"/>
    <numFmt numFmtId="196" formatCode="0_);\(0\)"/>
    <numFmt numFmtId="197" formatCode="0_)"/>
    <numFmt numFmtId="198" formatCode="dd\-mmm\-yy_)"/>
    <numFmt numFmtId="199" formatCode="0.0000_)"/>
    <numFmt numFmtId="200" formatCode="0.00_)"/>
    <numFmt numFmtId="201" formatCode="0.00_);\(0.00\)"/>
    <numFmt numFmtId="202" formatCode="&quot;$&quot;#,##0;[Red]&quot;$&quot;#,##0"/>
    <numFmt numFmtId="203" formatCode="#,##0;[Red]#,##0"/>
    <numFmt numFmtId="204" formatCode="#,##0.0_);[Red]\(#,##0.0\)"/>
    <numFmt numFmtId="205" formatCode="&quot;$&quot;#,##0.00"/>
    <numFmt numFmtId="206" formatCode="&quot;$&quot;#,##0"/>
    <numFmt numFmtId="207" formatCode="&quot;$&quot;#,##0.00;[Red]&quot;$&quot;#,##0.00"/>
    <numFmt numFmtId="208" formatCode="#,##0.00000_);\(#,##0.00000\)"/>
    <numFmt numFmtId="209" formatCode="mmm\-yyyy"/>
    <numFmt numFmtId="210" formatCode="mmmm\ d\,\ yyyy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sz val="10"/>
      <color indexed="12"/>
      <name val="Arial"/>
      <family val="2"/>
    </font>
    <font>
      <b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1" xfId="0" applyFont="1" applyBorder="1" applyAlignment="1">
      <alignment/>
    </xf>
    <xf numFmtId="0" fontId="0" fillId="0" borderId="1" xfId="0" applyBorder="1" applyAlignment="1">
      <alignment/>
    </xf>
    <xf numFmtId="0" fontId="4" fillId="0" borderId="1" xfId="0" applyFont="1" applyBorder="1" applyAlignment="1">
      <alignment horizontal="center"/>
    </xf>
    <xf numFmtId="14" fontId="4" fillId="0" borderId="1" xfId="0" applyNumberFormat="1" applyFont="1" applyBorder="1" applyAlignment="1">
      <alignment horizontal="center"/>
    </xf>
    <xf numFmtId="166" fontId="5" fillId="0" borderId="0" xfId="0" applyNumberFormat="1" applyFont="1" applyAlignment="1">
      <alignment/>
    </xf>
    <xf numFmtId="5" fontId="0" fillId="0" borderId="0" xfId="0" applyNumberFormat="1" applyAlignment="1">
      <alignment/>
    </xf>
    <xf numFmtId="5" fontId="5" fillId="0" borderId="0" xfId="0" applyNumberFormat="1" applyFont="1" applyAlignment="1">
      <alignment/>
    </xf>
    <xf numFmtId="9" fontId="5" fillId="0" borderId="0" xfId="0" applyNumberFormat="1" applyFont="1" applyAlignment="1">
      <alignment/>
    </xf>
    <xf numFmtId="10" fontId="0" fillId="0" borderId="0" xfId="21" applyNumberFormat="1" applyAlignment="1">
      <alignment/>
    </xf>
    <xf numFmtId="0" fontId="0" fillId="0" borderId="2" xfId="0" applyBorder="1" applyAlignment="1">
      <alignment/>
    </xf>
    <xf numFmtId="5" fontId="0" fillId="0" borderId="2" xfId="0" applyNumberFormat="1" applyBorder="1" applyAlignment="1">
      <alignment/>
    </xf>
    <xf numFmtId="0" fontId="0" fillId="0" borderId="0" xfId="0" applyFill="1" applyBorder="1" applyAlignment="1">
      <alignment/>
    </xf>
    <xf numFmtId="5" fontId="0" fillId="0" borderId="2" xfId="0" applyNumberFormat="1" applyFont="1" applyFill="1" applyBorder="1" applyAlignment="1">
      <alignment/>
    </xf>
    <xf numFmtId="0" fontId="6" fillId="0" borderId="0" xfId="0" applyFont="1" applyAlignment="1">
      <alignment/>
    </xf>
    <xf numFmtId="5" fontId="6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5" fontId="4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5" fontId="0" fillId="0" borderId="0" xfId="0" applyNumberFormat="1" applyFon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Alignment="1">
      <alignment/>
    </xf>
    <xf numFmtId="43" fontId="5" fillId="0" borderId="0" xfId="15" applyFont="1" applyBorder="1" applyAlignment="1">
      <alignment/>
    </xf>
    <xf numFmtId="10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10" fontId="0" fillId="0" borderId="0" xfId="21" applyNumberFormat="1" applyFont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2" xfId="0" applyFont="1" applyBorder="1" applyAlignment="1">
      <alignment/>
    </xf>
    <xf numFmtId="5" fontId="4" fillId="0" borderId="2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5" fontId="0" fillId="0" borderId="0" xfId="0" applyNumberFormat="1" applyFont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Alignment="1">
      <alignment horizontal="left" indent="1"/>
    </xf>
    <xf numFmtId="7" fontId="0" fillId="0" borderId="0" xfId="0" applyNumberFormat="1" applyAlignment="1">
      <alignment/>
    </xf>
    <xf numFmtId="0" fontId="0" fillId="0" borderId="0" xfId="0" applyNumberFormat="1" applyFont="1" applyFill="1" applyBorder="1" applyAlignment="1">
      <alignment horizontal="left"/>
    </xf>
    <xf numFmtId="0" fontId="0" fillId="0" borderId="0" xfId="0" applyFont="1" applyAlignment="1">
      <alignment horizontal="left" indent="1"/>
    </xf>
    <xf numFmtId="6" fontId="5" fillId="0" borderId="0" xfId="0" applyNumberFormat="1" applyFont="1" applyAlignment="1">
      <alignment/>
    </xf>
    <xf numFmtId="5" fontId="4" fillId="0" borderId="0" xfId="0" applyNumberFormat="1" applyFont="1" applyAlignment="1">
      <alignment/>
    </xf>
    <xf numFmtId="10" fontId="5" fillId="0" borderId="0" xfId="21" applyNumberFormat="1" applyFont="1" applyAlignment="1">
      <alignment/>
    </xf>
    <xf numFmtId="193" fontId="5" fillId="0" borderId="0" xfId="0" applyNumberFormat="1" applyFont="1" applyAlignment="1">
      <alignment/>
    </xf>
    <xf numFmtId="0" fontId="0" fillId="0" borderId="0" xfId="0" applyAlignment="1">
      <alignment horizontal="center"/>
    </xf>
    <xf numFmtId="165" fontId="5" fillId="0" borderId="0" xfId="15" applyNumberFormat="1" applyFont="1" applyAlignment="1">
      <alignment horizontal="right"/>
    </xf>
    <xf numFmtId="210" fontId="0" fillId="0" borderId="0" xfId="0" applyNumberFormat="1" applyAlignment="1">
      <alignment horizontal="left"/>
    </xf>
    <xf numFmtId="5" fontId="5" fillId="0" borderId="0" xfId="0" applyNumberFormat="1" applyFont="1" applyBorder="1" applyAlignment="1">
      <alignment/>
    </xf>
    <xf numFmtId="0" fontId="0" fillId="0" borderId="2" xfId="0" applyFont="1" applyFill="1" applyBorder="1" applyAlignment="1">
      <alignment/>
    </xf>
    <xf numFmtId="5" fontId="0" fillId="0" borderId="2" xfId="0" applyNumberFormat="1" applyFont="1" applyBorder="1" applyAlignment="1">
      <alignment/>
    </xf>
    <xf numFmtId="9" fontId="5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/>
    </xf>
    <xf numFmtId="166" fontId="5" fillId="0" borderId="0" xfId="0" applyNumberFormat="1" applyFont="1" applyBorder="1" applyAlignment="1">
      <alignment/>
    </xf>
    <xf numFmtId="166" fontId="0" fillId="0" borderId="0" xfId="21" applyNumberFormat="1" applyAlignment="1">
      <alignment/>
    </xf>
    <xf numFmtId="165" fontId="0" fillId="0" borderId="0" xfId="15" applyNumberFormat="1" applyFont="1" applyBorder="1" applyAlignment="1">
      <alignment/>
    </xf>
    <xf numFmtId="9" fontId="0" fillId="0" borderId="0" xfId="0" applyNumberFormat="1" applyFont="1" applyAlignment="1">
      <alignment/>
    </xf>
    <xf numFmtId="5" fontId="0" fillId="0" borderId="1" xfId="0" applyNumberFormat="1" applyFont="1" applyBorder="1" applyAlignment="1">
      <alignment/>
    </xf>
    <xf numFmtId="10" fontId="0" fillId="0" borderId="0" xfId="0" applyNumberFormat="1" applyFont="1" applyAlignment="1">
      <alignment/>
    </xf>
    <xf numFmtId="166" fontId="0" fillId="0" borderId="0" xfId="21" applyNumberFormat="1" applyFont="1" applyBorder="1" applyAlignment="1">
      <alignment/>
    </xf>
    <xf numFmtId="10" fontId="4" fillId="0" borderId="0" xfId="0" applyNumberFormat="1" applyFont="1" applyBorder="1" applyAlignment="1">
      <alignment/>
    </xf>
    <xf numFmtId="10" fontId="0" fillId="0" borderId="0" xfId="0" applyNumberFormat="1" applyFont="1" applyBorder="1" applyAlignment="1">
      <alignment/>
    </xf>
    <xf numFmtId="10" fontId="0" fillId="0" borderId="0" xfId="21" applyNumberFormat="1" applyFont="1" applyAlignment="1">
      <alignment/>
    </xf>
    <xf numFmtId="5" fontId="5" fillId="0" borderId="0" xfId="0" applyNumberFormat="1" applyFont="1" applyBorder="1" applyAlignment="1">
      <alignment horizontal="center"/>
    </xf>
    <xf numFmtId="0" fontId="4" fillId="0" borderId="1" xfId="0" applyFont="1" applyFill="1" applyBorder="1" applyAlignment="1">
      <alignment/>
    </xf>
    <xf numFmtId="5" fontId="4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left" indent="1"/>
    </xf>
    <xf numFmtId="0" fontId="0" fillId="0" borderId="0" xfId="0" applyFont="1" applyFill="1" applyBorder="1" applyAlignment="1">
      <alignment horizontal="left" indent="1"/>
    </xf>
    <xf numFmtId="6" fontId="0" fillId="0" borderId="0" xfId="0" applyNumberFormat="1" applyAlignment="1">
      <alignment/>
    </xf>
    <xf numFmtId="5" fontId="0" fillId="0" borderId="0" xfId="0" applyNumberFormat="1" applyAlignment="1">
      <alignment horizontal="left" indent="1"/>
    </xf>
    <xf numFmtId="164" fontId="5" fillId="0" borderId="0" xfId="15" applyNumberFormat="1" applyFont="1" applyAlignment="1">
      <alignment/>
    </xf>
    <xf numFmtId="0" fontId="4" fillId="0" borderId="2" xfId="0" applyFont="1" applyFill="1" applyBorder="1" applyAlignment="1">
      <alignment horizontal="left"/>
    </xf>
    <xf numFmtId="165" fontId="0" fillId="0" borderId="0" xfId="15" applyNumberForma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5" fontId="8" fillId="0" borderId="0" xfId="0" applyNumberFormat="1" applyFont="1" applyAlignment="1">
      <alignment horizontal="center"/>
    </xf>
    <xf numFmtId="166" fontId="5" fillId="0" borderId="0" xfId="21" applyNumberFormat="1" applyFont="1" applyAlignment="1">
      <alignment/>
    </xf>
    <xf numFmtId="9" fontId="9" fillId="0" borderId="0" xfId="0" applyNumberFormat="1" applyFont="1" applyAlignment="1">
      <alignment/>
    </xf>
    <xf numFmtId="6" fontId="4" fillId="0" borderId="0" xfId="0" applyNumberFormat="1" applyFont="1" applyAlignment="1">
      <alignment/>
    </xf>
    <xf numFmtId="166" fontId="0" fillId="0" borderId="0" xfId="21" applyNumberFormat="1" applyFont="1" applyAlignment="1">
      <alignment/>
    </xf>
    <xf numFmtId="0" fontId="10" fillId="0" borderId="0" xfId="0" applyFont="1" applyBorder="1" applyAlignment="1">
      <alignment/>
    </xf>
    <xf numFmtId="9" fontId="0" fillId="0" borderId="0" xfId="0" applyNumberFormat="1" applyAlignment="1">
      <alignment/>
    </xf>
    <xf numFmtId="9" fontId="4" fillId="0" borderId="0" xfId="0" applyNumberFormat="1" applyFont="1" applyAlignment="1">
      <alignment/>
    </xf>
    <xf numFmtId="1" fontId="0" fillId="0" borderId="0" xfId="0" applyNumberFormat="1" applyAlignment="1">
      <alignment/>
    </xf>
    <xf numFmtId="37" fontId="0" fillId="0" borderId="0" xfId="0" applyNumberFormat="1" applyAlignment="1">
      <alignment/>
    </xf>
    <xf numFmtId="37" fontId="4" fillId="0" borderId="2" xfId="0" applyNumberFormat="1" applyFont="1" applyBorder="1" applyAlignment="1">
      <alignment/>
    </xf>
    <xf numFmtId="10" fontId="4" fillId="0" borderId="0" xfId="0" applyNumberFormat="1" applyFont="1" applyAlignment="1">
      <alignment/>
    </xf>
    <xf numFmtId="10" fontId="0" fillId="0" borderId="0" xfId="0" applyNumberFormat="1" applyAlignment="1">
      <alignment/>
    </xf>
    <xf numFmtId="10" fontId="6" fillId="0" borderId="1" xfId="0" applyNumberFormat="1" applyFont="1" applyBorder="1" applyAlignment="1">
      <alignment horizontal="center"/>
    </xf>
    <xf numFmtId="10" fontId="5" fillId="0" borderId="0" xfId="0" applyNumberFormat="1" applyFont="1" applyAlignment="1">
      <alignment/>
    </xf>
    <xf numFmtId="10" fontId="0" fillId="0" borderId="2" xfId="0" applyNumberFormat="1" applyFont="1" applyBorder="1" applyAlignment="1">
      <alignment/>
    </xf>
    <xf numFmtId="10" fontId="0" fillId="0" borderId="0" xfId="0" applyNumberFormat="1" applyFont="1" applyBorder="1" applyAlignment="1">
      <alignment horizontal="right"/>
    </xf>
    <xf numFmtId="10" fontId="4" fillId="0" borderId="2" xfId="0" applyNumberFormat="1" applyFont="1" applyBorder="1" applyAlignment="1">
      <alignment/>
    </xf>
    <xf numFmtId="10" fontId="4" fillId="0" borderId="0" xfId="0" applyNumberFormat="1" applyFont="1" applyBorder="1" applyAlignment="1">
      <alignment horizontal="center"/>
    </xf>
    <xf numFmtId="10" fontId="4" fillId="0" borderId="1" xfId="0" applyNumberFormat="1" applyFont="1" applyBorder="1" applyAlignment="1">
      <alignment horizontal="center"/>
    </xf>
    <xf numFmtId="1" fontId="5" fillId="0" borderId="0" xfId="0" applyNumberFormat="1" applyFont="1" applyAlignment="1">
      <alignment/>
    </xf>
    <xf numFmtId="1" fontId="0" fillId="0" borderId="2" xfId="0" applyNumberFormat="1" applyBorder="1" applyAlignment="1">
      <alignment/>
    </xf>
    <xf numFmtId="1" fontId="0" fillId="0" borderId="0" xfId="0" applyNumberFormat="1" applyFill="1" applyBorder="1" applyAlignment="1">
      <alignment/>
    </xf>
    <xf numFmtId="37" fontId="0" fillId="0" borderId="0" xfId="0" applyNumberFormat="1" applyFont="1" applyBorder="1" applyAlignment="1">
      <alignment/>
    </xf>
    <xf numFmtId="1" fontId="0" fillId="0" borderId="0" xfId="0" applyNumberFormat="1" applyFont="1" applyAlignment="1">
      <alignment/>
    </xf>
    <xf numFmtId="3" fontId="0" fillId="0" borderId="2" xfId="0" applyNumberFormat="1" applyBorder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1" fontId="0" fillId="0" borderId="0" xfId="0" applyNumberFormat="1" applyFont="1" applyFill="1" applyBorder="1" applyAlignment="1">
      <alignment/>
    </xf>
    <xf numFmtId="1" fontId="0" fillId="0" borderId="0" xfId="0" applyNumberFormat="1" applyFont="1" applyBorder="1" applyAlignment="1">
      <alignment/>
    </xf>
    <xf numFmtId="2" fontId="4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5" fillId="0" borderId="0" xfId="0" applyNumberFormat="1" applyFont="1" applyAlignment="1">
      <alignment/>
    </xf>
    <xf numFmtId="2" fontId="0" fillId="0" borderId="1" xfId="0" applyNumberFormat="1" applyBorder="1" applyAlignment="1">
      <alignment/>
    </xf>
    <xf numFmtId="2" fontId="0" fillId="0" borderId="2" xfId="0" applyNumberFormat="1" applyBorder="1" applyAlignment="1">
      <alignment/>
    </xf>
    <xf numFmtId="2" fontId="6" fillId="0" borderId="0" xfId="21" applyNumberFormat="1" applyFont="1" applyAlignment="1">
      <alignment/>
    </xf>
    <xf numFmtId="2" fontId="4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2" xfId="0" applyNumberFormat="1" applyFont="1" applyBorder="1" applyAlignment="1">
      <alignment/>
    </xf>
    <xf numFmtId="2" fontId="4" fillId="0" borderId="2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2" fontId="6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/>
    </xf>
    <xf numFmtId="2" fontId="4" fillId="0" borderId="1" xfId="0" applyNumberFormat="1" applyFont="1" applyBorder="1" applyAlignment="1">
      <alignment horizontal="center"/>
    </xf>
    <xf numFmtId="2" fontId="0" fillId="0" borderId="1" xfId="0" applyNumberFormat="1" applyFont="1" applyBorder="1" applyAlignment="1">
      <alignment/>
    </xf>
    <xf numFmtId="1" fontId="4" fillId="2" borderId="0" xfId="0" applyNumberFormat="1" applyFont="1" applyFill="1" applyBorder="1" applyAlignment="1">
      <alignment/>
    </xf>
    <xf numFmtId="2" fontId="4" fillId="2" borderId="0" xfId="0" applyNumberFormat="1" applyFont="1" applyFill="1" applyBorder="1" applyAlignment="1">
      <alignment/>
    </xf>
    <xf numFmtId="1" fontId="4" fillId="2" borderId="0" xfId="0" applyNumberFormat="1" applyFont="1" applyFill="1" applyAlignment="1">
      <alignment/>
    </xf>
    <xf numFmtId="10" fontId="4" fillId="2" borderId="0" xfId="21" applyNumberFormat="1" applyFont="1" applyFill="1" applyBorder="1" applyAlignment="1">
      <alignment/>
    </xf>
    <xf numFmtId="8" fontId="0" fillId="0" borderId="0" xfId="0" applyNumberFormat="1" applyAlignment="1">
      <alignment/>
    </xf>
    <xf numFmtId="168" fontId="5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14" fontId="4" fillId="0" borderId="0" xfId="0" applyNumberFormat="1" applyFont="1" applyAlignment="1">
      <alignment/>
    </xf>
    <xf numFmtId="14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342900</xdr:colOff>
      <xdr:row>34</xdr:row>
      <xdr:rowOff>47625</xdr:rowOff>
    </xdr:from>
    <xdr:to>
      <xdr:col>8</xdr:col>
      <xdr:colOff>0</xdr:colOff>
      <xdr:row>36</xdr:row>
      <xdr:rowOff>66675</xdr:rowOff>
    </xdr:to>
    <xdr:sp>
      <xdr:nvSpPr>
        <xdr:cNvPr id="1" name="AutoShape 16"/>
        <xdr:cNvSpPr>
          <a:spLocks/>
        </xdr:cNvSpPr>
      </xdr:nvSpPr>
      <xdr:spPr>
        <a:xfrm>
          <a:off x="4333875" y="5591175"/>
          <a:ext cx="2381250" cy="342900"/>
        </a:xfrm>
        <a:prstGeom prst="borderCallout2">
          <a:avLst>
            <a:gd name="adj1" fmla="val -65453"/>
            <a:gd name="adj2" fmla="val -30555"/>
            <a:gd name="adj3" fmla="val -60000"/>
            <a:gd name="adj4" fmla="val -16666"/>
            <a:gd name="adj5" fmla="val -53634"/>
            <a:gd name="adj6" fmla="val -16666"/>
            <a:gd name="adj7" fmla="val -61365"/>
            <a:gd name="adj8" fmla="val -30555"/>
          </a:avLst>
        </a:prstGeom>
        <a:solidFill>
          <a:srgbClr val="FFFFFF"/>
        </a:solidFill>
        <a:ln w="9525" cmpd="sng">
          <a:solidFill>
            <a:srgbClr val="000000"/>
          </a:solidFill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This assumes that you hold the property for the entire 27.5 years...</a:t>
          </a:r>
        </a:p>
      </xdr:txBody>
    </xdr:sp>
    <xdr:clientData/>
  </xdr:twoCellAnchor>
  <xdr:twoCellAnchor>
    <xdr:from>
      <xdr:col>4</xdr:col>
      <xdr:colOff>352425</xdr:colOff>
      <xdr:row>43</xdr:row>
      <xdr:rowOff>66675</xdr:rowOff>
    </xdr:from>
    <xdr:to>
      <xdr:col>10</xdr:col>
      <xdr:colOff>228600</xdr:colOff>
      <xdr:row>45</xdr:row>
      <xdr:rowOff>85725</xdr:rowOff>
    </xdr:to>
    <xdr:sp>
      <xdr:nvSpPr>
        <xdr:cNvPr id="2" name="AutoShape 38"/>
        <xdr:cNvSpPr>
          <a:spLocks/>
        </xdr:cNvSpPr>
      </xdr:nvSpPr>
      <xdr:spPr>
        <a:xfrm>
          <a:off x="4343400" y="7067550"/>
          <a:ext cx="3933825" cy="342900"/>
        </a:xfrm>
        <a:prstGeom prst="borderCallout2">
          <a:avLst>
            <a:gd name="adj1" fmla="val -59166"/>
            <a:gd name="adj2" fmla="val -30555"/>
            <a:gd name="adj3" fmla="val -55930"/>
            <a:gd name="adj4" fmla="val -16666"/>
            <a:gd name="adj5" fmla="val -52157"/>
            <a:gd name="adj6" fmla="val -16666"/>
            <a:gd name="adj7" fmla="val -56740"/>
            <a:gd name="adj8" fmla="val -30555"/>
          </a:avLst>
        </a:prstGeom>
        <a:solidFill>
          <a:srgbClr val="FFFFFF"/>
        </a:solidFill>
        <a:ln w="9525" cmpd="sng">
          <a:solidFill>
            <a:srgbClr val="000000"/>
          </a:solidFill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This assumes that you sell the property at year 10 and pay taxes based upon the now more negative capital account...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Properties\Kingsbridge\Kingsbridge%20I\Budget\51BUD2000%20with%20depreciati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1BUD99"/>
      <sheetName val="CAPITAL - 5 YEAR"/>
      <sheetName val="GrossPotential"/>
    </sheetNames>
    <sheetDataSet>
      <sheetData sheetId="0">
        <row r="1">
          <cell r="B1" t="str">
            <v> </v>
          </cell>
          <cell r="D1" t="str">
            <v> </v>
          </cell>
        </row>
        <row r="2">
          <cell r="A2" t="str">
            <v> </v>
          </cell>
          <cell r="C2" t="str">
            <v>PROJECT:</v>
          </cell>
          <cell r="D2" t="str">
            <v>KINGSBRIDGE I</v>
          </cell>
          <cell r="S2" t="str">
            <v> </v>
          </cell>
        </row>
        <row r="3">
          <cell r="A3" t="str">
            <v> </v>
          </cell>
          <cell r="B3" t="str">
            <v> </v>
          </cell>
          <cell r="C3" t="str">
            <v>FISCAL YEAR:</v>
          </cell>
          <cell r="D3">
            <v>2000</v>
          </cell>
        </row>
        <row r="4">
          <cell r="B4" t="str">
            <v> </v>
          </cell>
          <cell r="C4" t="str">
            <v>YEAR ENDS:</v>
          </cell>
          <cell r="D4" t="str">
            <v>DECEMBER 31, 2000</v>
          </cell>
        </row>
        <row r="5">
          <cell r="C5" t="str">
            <v>PREFIX:</v>
          </cell>
          <cell r="D5" t="str">
            <v>51</v>
          </cell>
        </row>
        <row r="6">
          <cell r="C6" t="str">
            <v>UNITS:</v>
          </cell>
          <cell r="D6">
            <v>144</v>
          </cell>
        </row>
        <row r="7">
          <cell r="C7" t="str">
            <v>SQ. FT:</v>
          </cell>
          <cell r="D7">
            <v>124512</v>
          </cell>
        </row>
        <row r="8">
          <cell r="D8" t="str">
            <v> </v>
          </cell>
          <cell r="E8" t="str">
            <v>TOTAL</v>
          </cell>
        </row>
        <row r="9">
          <cell r="B9" t="str">
            <v>PRE-</v>
          </cell>
          <cell r="E9" t="str">
            <v>BUDGET</v>
          </cell>
          <cell r="F9" t="str">
            <v>BUDGET</v>
          </cell>
          <cell r="G9" t="str">
            <v>BUDGET</v>
          </cell>
          <cell r="H9" t="str">
            <v>BUDGET</v>
          </cell>
          <cell r="I9" t="str">
            <v>BUDGET</v>
          </cell>
          <cell r="J9" t="str">
            <v>BUDGET</v>
          </cell>
          <cell r="K9" t="str">
            <v>BUDGET</v>
          </cell>
          <cell r="L9" t="str">
            <v>BUDGET</v>
          </cell>
          <cell r="M9" t="str">
            <v>BUDGET</v>
          </cell>
          <cell r="N9" t="str">
            <v>BUDGET</v>
          </cell>
          <cell r="O9" t="str">
            <v>BUDGET</v>
          </cell>
          <cell r="P9" t="str">
            <v>BUDGET</v>
          </cell>
          <cell r="Q9" t="str">
            <v>BUDGET</v>
          </cell>
          <cell r="R9" t="str">
            <v>COST PER</v>
          </cell>
          <cell r="S9" t="str">
            <v>COST PER</v>
          </cell>
        </row>
        <row r="10">
          <cell r="B10" t="str">
            <v>FIX</v>
          </cell>
          <cell r="C10" t="str">
            <v>ACCT</v>
          </cell>
          <cell r="D10" t="str">
            <v>DESCRIPTION</v>
          </cell>
          <cell r="E10">
            <v>2000</v>
          </cell>
          <cell r="F10" t="str">
            <v>PERIOD 1</v>
          </cell>
          <cell r="G10" t="str">
            <v>PERIOD 2</v>
          </cell>
          <cell r="H10" t="str">
            <v>PERIOD 3</v>
          </cell>
          <cell r="I10" t="str">
            <v>PERIOD 4</v>
          </cell>
          <cell r="J10" t="str">
            <v>PERIOD 5</v>
          </cell>
          <cell r="K10" t="str">
            <v>PERIOD 6</v>
          </cell>
          <cell r="L10" t="str">
            <v>PERIOD 7</v>
          </cell>
          <cell r="M10" t="str">
            <v>PERIOD 8</v>
          </cell>
          <cell r="N10" t="str">
            <v>PERIOD 9</v>
          </cell>
          <cell r="O10" t="str">
            <v>PERIOD 10</v>
          </cell>
          <cell r="P10" t="str">
            <v>PERIOD 11</v>
          </cell>
          <cell r="Q10" t="str">
            <v>PERIOD 12</v>
          </cell>
          <cell r="R10" t="str">
            <v>UNIT</v>
          </cell>
          <cell r="S10" t="str">
            <v>SQ FT</v>
          </cell>
        </row>
        <row r="11">
          <cell r="B11" t="str">
            <v>51</v>
          </cell>
          <cell r="C11">
            <v>5120</v>
          </cell>
          <cell r="D11" t="str">
            <v>GROSS POTENTIAL (-)</v>
          </cell>
        </row>
        <row r="12">
          <cell r="B12" t="str">
            <v>51</v>
          </cell>
          <cell r="C12">
            <v>5220</v>
          </cell>
          <cell r="D12" t="str">
            <v>VACANCY LOSS (+)2%</v>
          </cell>
        </row>
        <row r="13">
          <cell r="B13" t="str">
            <v>51</v>
          </cell>
          <cell r="C13">
            <v>5410</v>
          </cell>
          <cell r="D13" t="str">
            <v>INTEREST INCOME/ OPERATION (-)</v>
          </cell>
        </row>
        <row r="14">
          <cell r="B14" t="str">
            <v>51</v>
          </cell>
          <cell r="C14">
            <v>5910</v>
          </cell>
          <cell r="D14" t="str">
            <v>LAUNDRY &amp; VENDING MACHINES (-)</v>
          </cell>
        </row>
        <row r="15">
          <cell r="B15" t="str">
            <v>51</v>
          </cell>
          <cell r="C15">
            <v>5920</v>
          </cell>
          <cell r="D15" t="str">
            <v>LATE FEES (-)</v>
          </cell>
        </row>
        <row r="16">
          <cell r="B16" t="str">
            <v>51</v>
          </cell>
          <cell r="C16">
            <v>5930</v>
          </cell>
          <cell r="D16" t="str">
            <v>DAMAGES (-)</v>
          </cell>
        </row>
        <row r="17">
          <cell r="B17" t="str">
            <v>51</v>
          </cell>
          <cell r="C17" t="str">
            <v>5932.00</v>
          </cell>
          <cell r="D17" t="str">
            <v>LEASE BREAK FEES (-)</v>
          </cell>
        </row>
        <row r="18">
          <cell r="B18" t="str">
            <v>51</v>
          </cell>
          <cell r="C18">
            <v>5952</v>
          </cell>
          <cell r="D18" t="str">
            <v>CLUB HOUSE INCOME (-)</v>
          </cell>
        </row>
        <row r="19">
          <cell r="B19" t="str">
            <v>51</v>
          </cell>
          <cell r="C19">
            <v>5976</v>
          </cell>
          <cell r="D19" t="str">
            <v>PET FEE (-)</v>
          </cell>
        </row>
        <row r="20">
          <cell r="B20" t="str">
            <v>51</v>
          </cell>
          <cell r="C20">
            <v>5978</v>
          </cell>
          <cell r="D20" t="str">
            <v>CANCELLATION FEE (-)</v>
          </cell>
        </row>
        <row r="21">
          <cell r="B21" t="str">
            <v>51</v>
          </cell>
          <cell r="C21">
            <v>5982</v>
          </cell>
          <cell r="D21" t="str">
            <v>POOL FEES (-)</v>
          </cell>
        </row>
        <row r="22">
          <cell r="B22" t="str">
            <v>51</v>
          </cell>
          <cell r="C22">
            <v>5986</v>
          </cell>
          <cell r="D22" t="str">
            <v>WARRANT/LEGAL RECOVERY (-)</v>
          </cell>
        </row>
        <row r="23">
          <cell r="B23" t="str">
            <v>51</v>
          </cell>
          <cell r="C23">
            <v>6261</v>
          </cell>
          <cell r="D23" t="str">
            <v>TENANT RENT CONCESSION (+)</v>
          </cell>
        </row>
        <row r="24">
          <cell r="B24" t="str">
            <v>51</v>
          </cell>
          <cell r="C24">
            <v>6312</v>
          </cell>
          <cell r="D24" t="str">
            <v>MODEL RENT (+)</v>
          </cell>
        </row>
        <row r="25">
          <cell r="B25" t="str">
            <v>51</v>
          </cell>
          <cell r="C25">
            <v>6370</v>
          </cell>
          <cell r="D25" t="str">
            <v>BAD DEBTS (+)</v>
          </cell>
        </row>
        <row r="26">
          <cell r="B26" t="str">
            <v> </v>
          </cell>
          <cell r="C26" t="str">
            <v>    </v>
          </cell>
          <cell r="D26" t="str">
            <v>TOTAL INCOME                  </v>
          </cell>
        </row>
        <row r="27">
          <cell r="B27" t="str">
            <v> </v>
          </cell>
        </row>
        <row r="28">
          <cell r="B28" t="str">
            <v>51</v>
          </cell>
          <cell r="C28">
            <v>6103</v>
          </cell>
          <cell r="D28" t="str">
            <v>PAYROLL/ACCOUNTING</v>
          </cell>
        </row>
        <row r="29">
          <cell r="B29" t="str">
            <v>51</v>
          </cell>
          <cell r="C29">
            <v>6210</v>
          </cell>
          <cell r="D29" t="str">
            <v>MARKETING &amp; ADVERTISING</v>
          </cell>
        </row>
        <row r="30">
          <cell r="B30" t="str">
            <v>51</v>
          </cell>
          <cell r="C30">
            <v>6250</v>
          </cell>
          <cell r="D30" t="str">
            <v>PROP/OTHER RENTING EXPENSE</v>
          </cell>
        </row>
        <row r="31">
          <cell r="B31" t="str">
            <v>51</v>
          </cell>
          <cell r="C31">
            <v>6255</v>
          </cell>
          <cell r="D31" t="str">
            <v>PROP/REFERRAL FEES</v>
          </cell>
        </row>
        <row r="32">
          <cell r="B32" t="str">
            <v>51</v>
          </cell>
          <cell r="C32">
            <v>6257</v>
          </cell>
          <cell r="D32" t="str">
            <v>S/D INTEREST EXPENSE</v>
          </cell>
        </row>
        <row r="33">
          <cell r="B33" t="str">
            <v>51</v>
          </cell>
          <cell r="C33">
            <v>6310</v>
          </cell>
          <cell r="D33" t="str">
            <v>OFFICE SALARY</v>
          </cell>
        </row>
        <row r="34">
          <cell r="B34" t="str">
            <v>51</v>
          </cell>
          <cell r="C34">
            <v>6311</v>
          </cell>
          <cell r="D34" t="str">
            <v>OFFICE SUPPLIES</v>
          </cell>
        </row>
        <row r="35">
          <cell r="B35" t="str">
            <v>51</v>
          </cell>
          <cell r="C35">
            <v>6314</v>
          </cell>
          <cell r="D35" t="str">
            <v>OFFICE- COPIER/PAPER</v>
          </cell>
        </row>
        <row r="36">
          <cell r="B36" t="str">
            <v>51</v>
          </cell>
          <cell r="C36">
            <v>6317</v>
          </cell>
          <cell r="D36" t="str">
            <v>OFFICE POSTAGE</v>
          </cell>
        </row>
        <row r="37">
          <cell r="B37" t="str">
            <v>51</v>
          </cell>
          <cell r="C37">
            <v>6320</v>
          </cell>
          <cell r="D37" t="str">
            <v>MANAGEMENT FEE</v>
          </cell>
        </row>
        <row r="38">
          <cell r="B38" t="str">
            <v>51</v>
          </cell>
          <cell r="C38">
            <v>6340</v>
          </cell>
          <cell r="D38" t="str">
            <v>LEGAL FEES</v>
          </cell>
        </row>
        <row r="39">
          <cell r="B39" t="str">
            <v>51</v>
          </cell>
          <cell r="C39">
            <v>6350</v>
          </cell>
          <cell r="D39" t="str">
            <v>AUDIT FEES</v>
          </cell>
        </row>
        <row r="40">
          <cell r="B40" t="str">
            <v>51</v>
          </cell>
          <cell r="C40">
            <v>6352</v>
          </cell>
          <cell r="D40" t="str">
            <v>COMPUTER FEES - SECC</v>
          </cell>
        </row>
        <row r="41">
          <cell r="B41">
            <v>51</v>
          </cell>
          <cell r="C41">
            <v>6354</v>
          </cell>
          <cell r="D41" t="str">
            <v>COMPUTER MAINTENANCE</v>
          </cell>
        </row>
        <row r="42">
          <cell r="B42" t="str">
            <v>51</v>
          </cell>
          <cell r="C42">
            <v>6355</v>
          </cell>
          <cell r="D42" t="str">
            <v>COMPUTER SOFTWARE</v>
          </cell>
        </row>
        <row r="43">
          <cell r="B43" t="str">
            <v>51</v>
          </cell>
          <cell r="C43">
            <v>6360</v>
          </cell>
          <cell r="D43" t="str">
            <v>TELEPHONE</v>
          </cell>
        </row>
        <row r="44">
          <cell r="B44" t="str">
            <v>51</v>
          </cell>
          <cell r="C44">
            <v>6374</v>
          </cell>
          <cell r="D44" t="str">
            <v>DUES</v>
          </cell>
        </row>
        <row r="45">
          <cell r="B45" t="str">
            <v>51</v>
          </cell>
          <cell r="C45">
            <v>6376</v>
          </cell>
          <cell r="D45" t="str">
            <v>EDUCATION/STAFF TRAINING</v>
          </cell>
        </row>
        <row r="46">
          <cell r="B46" t="str">
            <v> </v>
          </cell>
          <cell r="D46" t="str">
            <v>TOTAL ADMINISTRATIVE EXPENSE</v>
          </cell>
        </row>
        <row r="47">
          <cell r="B47" t="str">
            <v> </v>
          </cell>
        </row>
        <row r="48">
          <cell r="B48" t="str">
            <v>51</v>
          </cell>
          <cell r="C48">
            <v>6450</v>
          </cell>
          <cell r="D48" t="str">
            <v>ELECTRICITY</v>
          </cell>
        </row>
        <row r="49">
          <cell r="B49" t="str">
            <v>51</v>
          </cell>
          <cell r="C49">
            <v>6451</v>
          </cell>
          <cell r="D49" t="str">
            <v>WATER</v>
          </cell>
        </row>
        <row r="50">
          <cell r="B50" t="str">
            <v>51</v>
          </cell>
          <cell r="C50">
            <v>6453</v>
          </cell>
          <cell r="D50" t="str">
            <v>SEWER</v>
          </cell>
        </row>
        <row r="51">
          <cell r="B51" t="str">
            <v>51</v>
          </cell>
          <cell r="C51" t="str">
            <v>6453.01</v>
          </cell>
          <cell r="D51" t="str">
            <v>WATER RUN OFF FEES</v>
          </cell>
        </row>
        <row r="52">
          <cell r="B52" t="str">
            <v> </v>
          </cell>
          <cell r="D52" t="str">
            <v>TOTAL PROPERTY UTILITY EXPENSE</v>
          </cell>
        </row>
        <row r="54">
          <cell r="B54" t="str">
            <v>51</v>
          </cell>
          <cell r="C54">
            <v>6123</v>
          </cell>
          <cell r="D54" t="str">
            <v>AUTO GAS/OIL/GRS</v>
          </cell>
        </row>
        <row r="55">
          <cell r="B55" t="str">
            <v>51</v>
          </cell>
          <cell r="C55">
            <v>6510</v>
          </cell>
          <cell r="D55" t="str">
            <v>JANITOR PAYROLL</v>
          </cell>
        </row>
        <row r="56">
          <cell r="B56" t="str">
            <v>51</v>
          </cell>
          <cell r="C56">
            <v>6515</v>
          </cell>
          <cell r="D56" t="str">
            <v>JANITOR &amp; CLEANING SUPPLIES</v>
          </cell>
        </row>
        <row r="57">
          <cell r="B57">
            <v>51</v>
          </cell>
          <cell r="C57">
            <v>6517</v>
          </cell>
          <cell r="D57" t="str">
            <v>JANITOR &amp; CLEANING CONTRACT</v>
          </cell>
        </row>
        <row r="58">
          <cell r="B58" t="str">
            <v>51</v>
          </cell>
          <cell r="C58">
            <v>6518</v>
          </cell>
          <cell r="D58" t="str">
            <v>UNIFORM EXPENSE</v>
          </cell>
        </row>
        <row r="59">
          <cell r="B59" t="str">
            <v>51</v>
          </cell>
          <cell r="C59">
            <v>6519</v>
          </cell>
          <cell r="D59" t="str">
            <v>EXTERMINATING CONTRACT</v>
          </cell>
        </row>
        <row r="60">
          <cell r="B60" t="str">
            <v>51</v>
          </cell>
          <cell r="C60">
            <v>6525</v>
          </cell>
          <cell r="D60" t="str">
            <v>GARBAGE REMOVAL</v>
          </cell>
        </row>
        <row r="61">
          <cell r="B61" t="str">
            <v>51</v>
          </cell>
          <cell r="C61">
            <v>6530</v>
          </cell>
          <cell r="D61" t="str">
            <v>SECURITY</v>
          </cell>
        </row>
        <row r="62">
          <cell r="B62">
            <v>51</v>
          </cell>
          <cell r="C62">
            <v>6535</v>
          </cell>
          <cell r="D62" t="str">
            <v>GROUNDS SUPPLIES</v>
          </cell>
        </row>
        <row r="63">
          <cell r="B63" t="str">
            <v>51</v>
          </cell>
          <cell r="C63">
            <v>6537</v>
          </cell>
          <cell r="D63" t="str">
            <v>GROUNDS CONTRACT</v>
          </cell>
        </row>
        <row r="64">
          <cell r="B64" t="str">
            <v>51</v>
          </cell>
          <cell r="C64">
            <v>6540</v>
          </cell>
          <cell r="D64" t="str">
            <v>REPAIRS PAYROLL</v>
          </cell>
        </row>
        <row r="65">
          <cell r="B65" t="str">
            <v>51</v>
          </cell>
          <cell r="C65">
            <v>6541</v>
          </cell>
          <cell r="D65" t="str">
            <v>REPAIR MATERIAL</v>
          </cell>
        </row>
        <row r="66">
          <cell r="B66" t="str">
            <v>51</v>
          </cell>
          <cell r="C66">
            <v>6541.01</v>
          </cell>
          <cell r="D66" t="str">
            <v>APPLIANCES</v>
          </cell>
        </row>
        <row r="67">
          <cell r="B67" t="str">
            <v>51</v>
          </cell>
          <cell r="C67">
            <v>6541.02</v>
          </cell>
          <cell r="D67" t="str">
            <v>ELECTRICAL</v>
          </cell>
        </row>
        <row r="68">
          <cell r="B68" t="str">
            <v>51</v>
          </cell>
          <cell r="C68">
            <v>6541.03</v>
          </cell>
          <cell r="D68" t="str">
            <v>FLOORS</v>
          </cell>
        </row>
        <row r="69">
          <cell r="B69" t="str">
            <v>51</v>
          </cell>
          <cell r="C69">
            <v>6541.04</v>
          </cell>
          <cell r="D69" t="str">
            <v>PLUMBING</v>
          </cell>
        </row>
        <row r="70">
          <cell r="B70" t="str">
            <v>51</v>
          </cell>
          <cell r="C70">
            <v>6542</v>
          </cell>
          <cell r="D70" t="str">
            <v>REPAIRS CONTRACT</v>
          </cell>
        </row>
        <row r="71">
          <cell r="B71" t="str">
            <v>51</v>
          </cell>
          <cell r="C71">
            <v>6546</v>
          </cell>
          <cell r="D71" t="str">
            <v>HVAC MATERIAL/ CONTRACT</v>
          </cell>
        </row>
        <row r="72">
          <cell r="B72" t="str">
            <v>51</v>
          </cell>
          <cell r="C72">
            <v>6547</v>
          </cell>
          <cell r="D72" t="str">
            <v>SWIM POOL SUPPLIES</v>
          </cell>
        </row>
        <row r="73">
          <cell r="B73" t="str">
            <v>51</v>
          </cell>
          <cell r="C73">
            <v>6547.01</v>
          </cell>
          <cell r="D73" t="str">
            <v>LIFE GUARD P/R</v>
          </cell>
        </row>
        <row r="74">
          <cell r="B74" t="str">
            <v>51</v>
          </cell>
          <cell r="C74">
            <v>6548</v>
          </cell>
          <cell r="D74" t="str">
            <v>SNOW REMOVAL</v>
          </cell>
        </row>
        <row r="75">
          <cell r="B75" t="str">
            <v>51</v>
          </cell>
          <cell r="C75">
            <v>6560</v>
          </cell>
          <cell r="D75" t="str">
            <v>PAINTING CONTRACT</v>
          </cell>
        </row>
        <row r="76">
          <cell r="B76" t="str">
            <v>51</v>
          </cell>
          <cell r="C76">
            <v>6561</v>
          </cell>
          <cell r="D76" t="str">
            <v>PAINTING SUPPLIES</v>
          </cell>
        </row>
        <row r="77">
          <cell r="B77">
            <v>51</v>
          </cell>
          <cell r="C77">
            <v>6570</v>
          </cell>
          <cell r="D77" t="str">
            <v>VEHICLE MAINT EQUIP OPERATION</v>
          </cell>
        </row>
        <row r="78">
          <cell r="B78" t="str">
            <v> </v>
          </cell>
          <cell r="D78" t="str">
            <v>TOTAL OPERATING &amp; MAINTENCE EXP</v>
          </cell>
        </row>
        <row r="79">
          <cell r="B79" t="str">
            <v> </v>
          </cell>
        </row>
        <row r="80">
          <cell r="B80" t="str">
            <v>51</v>
          </cell>
          <cell r="C80">
            <v>6710</v>
          </cell>
          <cell r="D80" t="str">
            <v>REAL ESTATE TAXES</v>
          </cell>
        </row>
        <row r="81">
          <cell r="B81" t="str">
            <v>51</v>
          </cell>
          <cell r="C81">
            <v>6711</v>
          </cell>
          <cell r="D81" t="str">
            <v>PAYROLL TAXES</v>
          </cell>
        </row>
        <row r="82">
          <cell r="B82" t="str">
            <v>51</v>
          </cell>
          <cell r="C82">
            <v>6719</v>
          </cell>
          <cell r="D82" t="str">
            <v>TAXES,LICENSE &amp; PERMITS</v>
          </cell>
        </row>
        <row r="83">
          <cell r="B83" t="str">
            <v>51</v>
          </cell>
          <cell r="C83">
            <v>6720.01</v>
          </cell>
          <cell r="D83" t="str">
            <v>INSURANCE- PROPERTY</v>
          </cell>
        </row>
        <row r="84">
          <cell r="B84" t="str">
            <v>51</v>
          </cell>
          <cell r="C84">
            <v>6720.02</v>
          </cell>
          <cell r="D84" t="str">
            <v>INSURANCE- LIABILITY  UMBRELLA         </v>
          </cell>
        </row>
        <row r="85">
          <cell r="B85">
            <v>51</v>
          </cell>
          <cell r="C85">
            <v>6721</v>
          </cell>
          <cell r="D85" t="str">
            <v>INSURANCE - FIDELITY BOND</v>
          </cell>
        </row>
        <row r="86">
          <cell r="B86" t="str">
            <v>51</v>
          </cell>
          <cell r="C86">
            <v>6722</v>
          </cell>
          <cell r="D86" t="str">
            <v>WORKMAN COMP</v>
          </cell>
        </row>
        <row r="87">
          <cell r="B87" t="str">
            <v>51</v>
          </cell>
          <cell r="C87">
            <v>6723</v>
          </cell>
          <cell r="D87" t="str">
            <v>HEALTH INS.</v>
          </cell>
        </row>
        <row r="88">
          <cell r="B88" t="str">
            <v>51</v>
          </cell>
          <cell r="C88">
            <v>6725</v>
          </cell>
          <cell r="D88" t="str">
            <v>INSURANCE-AUTO</v>
          </cell>
        </row>
        <row r="89">
          <cell r="B89" t="str">
            <v>51</v>
          </cell>
          <cell r="C89">
            <v>6726</v>
          </cell>
          <cell r="D89" t="str">
            <v>INSURANCE-LIFE</v>
          </cell>
        </row>
        <row r="90">
          <cell r="B90" t="str">
            <v> </v>
          </cell>
          <cell r="C90" t="str">
            <v>    </v>
          </cell>
          <cell r="D90" t="str">
            <v>TOTAL TAXES AND INSURANCE     </v>
          </cell>
        </row>
        <row r="91">
          <cell r="B91" t="str">
            <v> </v>
          </cell>
        </row>
        <row r="92">
          <cell r="B92" t="str">
            <v> </v>
          </cell>
          <cell r="D92" t="str">
            <v>NET OPERATING INCOME</v>
          </cell>
        </row>
        <row r="93">
          <cell r="B93" t="str">
            <v> </v>
          </cell>
        </row>
        <row r="94">
          <cell r="B94" t="str">
            <v>51</v>
          </cell>
          <cell r="C94">
            <v>6601</v>
          </cell>
          <cell r="D94" t="str">
            <v>ESTIMATED DEPRECIATION +</v>
          </cell>
        </row>
        <row r="95">
          <cell r="B95" t="str">
            <v>51</v>
          </cell>
          <cell r="C95">
            <v>6820.11</v>
          </cell>
          <cell r="D95" t="str">
            <v>INTEREST EXP-MORTGAGE #1</v>
          </cell>
        </row>
        <row r="96">
          <cell r="B96" t="str">
            <v>51</v>
          </cell>
          <cell r="C96">
            <v>6820.12</v>
          </cell>
          <cell r="D96" t="str">
            <v>INT. EXP - FORD CREDIT CORP.</v>
          </cell>
        </row>
        <row r="97">
          <cell r="B97" t="str">
            <v>51</v>
          </cell>
          <cell r="C97">
            <v>6850.11</v>
          </cell>
          <cell r="D97" t="str">
            <v>MORTGAGE INS. PREM #1</v>
          </cell>
        </row>
        <row r="98">
          <cell r="B98" t="str">
            <v>51</v>
          </cell>
          <cell r="C98">
            <v>7191</v>
          </cell>
          <cell r="D98" t="str">
            <v>ENTITY MGMT. FEE EXP</v>
          </cell>
        </row>
        <row r="99">
          <cell r="D99" t="str">
            <v>SUBTOTAL</v>
          </cell>
        </row>
        <row r="100">
          <cell r="D100" t="str">
            <v>TOTAL TAXABLE INCOME</v>
          </cell>
        </row>
        <row r="102">
          <cell r="B102" t="str">
            <v>51</v>
          </cell>
          <cell r="C102">
            <v>1320</v>
          </cell>
          <cell r="D102" t="str">
            <v>CASH-RESERVE FOR REPLACEMENTS</v>
          </cell>
        </row>
        <row r="103">
          <cell r="B103">
            <v>51</v>
          </cell>
          <cell r="C103">
            <v>2163</v>
          </cell>
          <cell r="D103" t="str">
            <v>ST N/P - FORD CREDIT CORP.</v>
          </cell>
        </row>
        <row r="104">
          <cell r="B104" t="str">
            <v>51</v>
          </cell>
          <cell r="C104">
            <v>2320.11</v>
          </cell>
          <cell r="D104" t="str">
            <v>MORTGAGE PAYABLE-#1</v>
          </cell>
        </row>
        <row r="105">
          <cell r="B105" t="str">
            <v>51</v>
          </cell>
          <cell r="C105">
            <v>6601</v>
          </cell>
          <cell r="D105" t="str">
            <v>ESTIMATED DEPRECIATION -</v>
          </cell>
        </row>
        <row r="106">
          <cell r="D106" t="str">
            <v>SUBTOTAL</v>
          </cell>
        </row>
        <row r="107">
          <cell r="D107" t="str">
            <v>CASH FLOW</v>
          </cell>
        </row>
        <row r="109">
          <cell r="B109" t="str">
            <v>51</v>
          </cell>
          <cell r="C109">
            <v>1401</v>
          </cell>
          <cell r="D109" t="str">
            <v>NEW ASSETS</v>
          </cell>
        </row>
        <row r="110">
          <cell r="B110" t="str">
            <v> </v>
          </cell>
          <cell r="D110" t="str">
            <v>CASH PROFIT OR (CASH LOSS)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6"/>
  <sheetViews>
    <sheetView zoomScale="85" zoomScaleNormal="85" workbookViewId="0" topLeftCell="A1">
      <selection activeCell="A1" sqref="A1"/>
    </sheetView>
  </sheetViews>
  <sheetFormatPr defaultColWidth="9.140625" defaultRowHeight="12.75"/>
  <cols>
    <col min="1" max="1" width="25.421875" style="0" customWidth="1"/>
    <col min="2" max="2" width="6.421875" style="0" customWidth="1"/>
    <col min="3" max="3" width="12.57421875" style="0" customWidth="1"/>
    <col min="4" max="4" width="13.57421875" style="0" bestFit="1" customWidth="1"/>
    <col min="5" max="5" width="12.8515625" style="0" customWidth="1"/>
    <col min="6" max="6" width="10.8515625" style="0" customWidth="1"/>
    <col min="7" max="7" width="13.28125" style="0" customWidth="1"/>
    <col min="8" max="8" width="11.28125" style="0" bestFit="1" customWidth="1"/>
    <col min="9" max="9" width="6.421875" style="0" bestFit="1" customWidth="1"/>
    <col min="10" max="10" width="11.28125" style="0" bestFit="1" customWidth="1"/>
  </cols>
  <sheetData>
    <row r="1" spans="1:5" ht="15.75">
      <c r="A1" s="1" t="s">
        <v>160</v>
      </c>
      <c r="B1" s="2"/>
      <c r="C1" s="2"/>
      <c r="D1" s="2"/>
      <c r="E1" s="128">
        <f ca="1">TODAY()</f>
        <v>37209</v>
      </c>
    </row>
    <row r="2" spans="1:5" ht="12.75">
      <c r="A2" s="25" t="s">
        <v>109</v>
      </c>
      <c r="B2" s="2"/>
      <c r="C2" s="2">
        <f>+assumptions!F5</f>
        <v>38500</v>
      </c>
      <c r="D2" s="2"/>
      <c r="E2" s="2"/>
    </row>
    <row r="3" spans="1:5" ht="12.75">
      <c r="A3" s="25" t="s">
        <v>158</v>
      </c>
      <c r="B3" s="2"/>
      <c r="C3" s="2">
        <f>+assumptions!F17</f>
        <v>66</v>
      </c>
      <c r="D3" s="2"/>
      <c r="E3" s="2"/>
    </row>
    <row r="4" spans="1:5" ht="12.75">
      <c r="A4" s="25" t="s">
        <v>110</v>
      </c>
      <c r="B4" s="2"/>
      <c r="C4" s="56">
        <v>0.6</v>
      </c>
      <c r="D4" s="56">
        <v>0.7</v>
      </c>
      <c r="E4" s="56">
        <v>0.8</v>
      </c>
    </row>
    <row r="5" spans="1:6" ht="12.75">
      <c r="A5" s="25" t="s">
        <v>111</v>
      </c>
      <c r="B5" s="82">
        <v>0.3</v>
      </c>
      <c r="C5" s="84">
        <f>(+$C$2*$B$5*C4/12)-$C$3</f>
        <v>511.5</v>
      </c>
      <c r="D5" s="84">
        <f>(+$C$2*$B$5*D4/12)-$C$3</f>
        <v>607.7499999999999</v>
      </c>
      <c r="E5" s="84">
        <f>(+$C$2*$B$5*E4/12)-$C$4</f>
        <v>769.4</v>
      </c>
      <c r="F5" s="3"/>
    </row>
    <row r="6" spans="1:6" ht="12.75">
      <c r="A6" s="25" t="s">
        <v>150</v>
      </c>
      <c r="C6" s="83">
        <f>+assumptions!F7</f>
        <v>0.6</v>
      </c>
      <c r="F6" s="3"/>
    </row>
    <row r="7" spans="1:6" ht="12.75">
      <c r="A7" t="s">
        <v>0</v>
      </c>
      <c r="B7" s="4">
        <f>+assumptions!F4</f>
        <v>24</v>
      </c>
      <c r="F7" s="3"/>
    </row>
    <row r="8" spans="1:8" ht="12.75">
      <c r="A8" t="s">
        <v>108</v>
      </c>
      <c r="B8" s="84">
        <f>+C5</f>
        <v>511.5</v>
      </c>
      <c r="F8" s="3"/>
      <c r="G8" s="3"/>
      <c r="H8" s="3"/>
    </row>
    <row r="9" spans="1:8" ht="12.75">
      <c r="A9" s="5" t="s">
        <v>1</v>
      </c>
      <c r="B9" s="6"/>
      <c r="C9" s="6"/>
      <c r="D9" s="7" t="s">
        <v>2</v>
      </c>
      <c r="E9" s="7"/>
      <c r="F9" s="8"/>
      <c r="G9" s="8"/>
      <c r="H9" s="8"/>
    </row>
    <row r="10" spans="1:8" ht="12.75">
      <c r="A10" t="s">
        <v>3</v>
      </c>
      <c r="C10" s="9">
        <v>0</v>
      </c>
      <c r="D10" s="10">
        <f>+Units*B8*12</f>
        <v>147312</v>
      </c>
      <c r="E10" s="10"/>
      <c r="F10" s="11"/>
      <c r="G10" s="11"/>
      <c r="H10" s="11"/>
    </row>
    <row r="11" spans="1:8" ht="12.75">
      <c r="A11" t="s">
        <v>4</v>
      </c>
      <c r="C11" s="12">
        <v>0.07</v>
      </c>
      <c r="D11" s="10">
        <f>-C11*D10</f>
        <v>-10311.84</v>
      </c>
      <c r="E11" s="10"/>
      <c r="F11" s="11"/>
      <c r="G11" s="11"/>
      <c r="H11" s="11"/>
    </row>
    <row r="12" spans="1:8" ht="12.75">
      <c r="A12" s="36" t="s">
        <v>27</v>
      </c>
      <c r="C12" s="12"/>
      <c r="D12" s="10"/>
      <c r="E12" s="10"/>
      <c r="F12" s="13"/>
      <c r="G12" s="13"/>
      <c r="H12" s="13"/>
    </row>
    <row r="13" spans="1:8" ht="12.75">
      <c r="A13" t="s">
        <v>5</v>
      </c>
      <c r="D13" s="10">
        <f>SUM(D10:D11)</f>
        <v>137000.16</v>
      </c>
      <c r="E13" s="10"/>
      <c r="F13" s="10"/>
      <c r="G13" s="10"/>
      <c r="H13" s="10"/>
    </row>
    <row r="14" spans="1:8" ht="12.75">
      <c r="A14" t="s">
        <v>6</v>
      </c>
      <c r="D14" s="11">
        <v>0</v>
      </c>
      <c r="E14" s="11"/>
      <c r="F14" s="11"/>
      <c r="G14" s="11"/>
      <c r="H14" s="11"/>
    </row>
    <row r="15" spans="1:8" ht="12.75">
      <c r="A15" s="14" t="s">
        <v>7</v>
      </c>
      <c r="B15" s="14"/>
      <c r="C15" s="14"/>
      <c r="D15" s="15">
        <f>SUM(D13:D14)</f>
        <v>137000.16</v>
      </c>
      <c r="E15" s="15"/>
      <c r="F15" s="15"/>
      <c r="G15" s="15"/>
      <c r="H15" s="15"/>
    </row>
    <row r="16" spans="1:8" ht="12.75">
      <c r="A16" s="16" t="s">
        <v>8</v>
      </c>
      <c r="D16" s="10">
        <f>F16</f>
        <v>0</v>
      </c>
      <c r="E16" s="10"/>
      <c r="F16" s="11"/>
      <c r="G16" s="11"/>
      <c r="H16" s="11"/>
    </row>
    <row r="17" spans="1:8" ht="12.75">
      <c r="A17" s="16" t="s">
        <v>9</v>
      </c>
      <c r="D17" s="10">
        <f>SUM(D15:D16)</f>
        <v>137000.16</v>
      </c>
      <c r="E17" s="10"/>
      <c r="F17" s="10"/>
      <c r="G17" s="10"/>
      <c r="H17" s="10"/>
    </row>
    <row r="18" spans="6:8" ht="12.75">
      <c r="F18" s="10"/>
      <c r="G18" s="10"/>
      <c r="H18" s="10"/>
    </row>
    <row r="19" spans="1:8" ht="12.75">
      <c r="A19" s="2" t="s">
        <v>10</v>
      </c>
      <c r="F19" s="10"/>
      <c r="G19" s="10"/>
      <c r="H19" s="10"/>
    </row>
    <row r="20" spans="1:8" ht="12.75">
      <c r="A20" t="s">
        <v>11</v>
      </c>
      <c r="D20" s="10">
        <v>0</v>
      </c>
      <c r="E20" s="10"/>
      <c r="F20" s="11"/>
      <c r="G20" s="11"/>
      <c r="H20" s="11"/>
    </row>
    <row r="21" spans="1:8" ht="12.75">
      <c r="A21" t="s">
        <v>12</v>
      </c>
      <c r="D21" s="10">
        <v>0</v>
      </c>
      <c r="E21" s="10"/>
      <c r="F21" s="11"/>
      <c r="G21" s="11"/>
      <c r="H21" s="11"/>
    </row>
    <row r="22" spans="1:8" ht="12.75">
      <c r="A22" t="s">
        <v>112</v>
      </c>
      <c r="C22" s="12"/>
      <c r="D22" s="10">
        <f>+assumptions!F15*assumptions!F4</f>
        <v>63672</v>
      </c>
      <c r="E22" s="10"/>
      <c r="F22" s="11"/>
      <c r="G22" s="11"/>
      <c r="H22" s="11"/>
    </row>
    <row r="23" spans="1:8" ht="12.75">
      <c r="A23" t="s">
        <v>13</v>
      </c>
      <c r="D23" s="10">
        <v>0</v>
      </c>
      <c r="E23" s="10"/>
      <c r="F23" s="11"/>
      <c r="G23" s="11"/>
      <c r="H23" s="11"/>
    </row>
    <row r="24" spans="1:8" ht="12.75">
      <c r="A24" s="14" t="s">
        <v>14</v>
      </c>
      <c r="B24" s="14"/>
      <c r="C24" s="14"/>
      <c r="D24" s="17">
        <f>SUM(D20:D23)</f>
        <v>63672</v>
      </c>
      <c r="E24" s="17"/>
      <c r="F24" s="17"/>
      <c r="G24" s="17"/>
      <c r="H24" s="17"/>
    </row>
    <row r="25" spans="1:9" ht="12.75">
      <c r="A25" s="18" t="s">
        <v>15</v>
      </c>
      <c r="D25" s="19" t="s">
        <v>147</v>
      </c>
      <c r="E25" s="19"/>
      <c r="F25" s="19"/>
      <c r="G25" s="19"/>
      <c r="H25" s="19"/>
      <c r="I25" s="19"/>
    </row>
    <row r="26" spans="6:9" ht="12.75">
      <c r="F26" s="10"/>
      <c r="G26" s="10"/>
      <c r="H26" s="10"/>
      <c r="I26" s="19"/>
    </row>
    <row r="27" spans="1:8" ht="12.75">
      <c r="A27" s="20" t="s">
        <v>16</v>
      </c>
      <c r="B27" s="20"/>
      <c r="C27" s="20"/>
      <c r="D27" s="21">
        <f>D17-D24</f>
        <v>73328.16</v>
      </c>
      <c r="E27" s="21"/>
      <c r="F27" s="21"/>
      <c r="G27" s="21"/>
      <c r="H27" s="21"/>
    </row>
    <row r="28" spans="1:8" ht="12.75">
      <c r="A28" s="22" t="s">
        <v>17</v>
      </c>
      <c r="B28" s="11">
        <f>+assumptions!F18</f>
        <v>798</v>
      </c>
      <c r="C28" s="20"/>
      <c r="D28" s="23">
        <f>-$B$28*Units</f>
        <v>-19152</v>
      </c>
      <c r="E28" s="23"/>
      <c r="F28" s="23"/>
      <c r="G28" s="23"/>
      <c r="H28" s="23"/>
    </row>
    <row r="29" spans="1:8" ht="12.75">
      <c r="A29" s="20" t="s">
        <v>18</v>
      </c>
      <c r="B29" s="20"/>
      <c r="C29" s="20"/>
      <c r="D29" s="21">
        <f>SUM(D27:D28)</f>
        <v>54176.16</v>
      </c>
      <c r="E29" s="21"/>
      <c r="F29" s="21"/>
      <c r="G29" s="21"/>
      <c r="H29" s="21"/>
    </row>
    <row r="30" spans="1:6" ht="12.75">
      <c r="A30" s="20"/>
      <c r="B30" s="20"/>
      <c r="C30" s="20"/>
      <c r="D30" s="20"/>
      <c r="E30" s="20"/>
      <c r="F30" s="21"/>
    </row>
    <row r="31" spans="1:6" ht="12.75">
      <c r="A31" s="22" t="s">
        <v>62</v>
      </c>
      <c r="B31" s="22"/>
      <c r="C31" s="22"/>
      <c r="D31" s="23">
        <f>D29</f>
        <v>54176.16</v>
      </c>
      <c r="E31" s="20"/>
      <c r="F31" s="10"/>
    </row>
    <row r="32" spans="1:6" s="25" customFormat="1" ht="12.75">
      <c r="A32" s="22"/>
      <c r="B32" s="22"/>
      <c r="C32" s="22"/>
      <c r="D32" s="22"/>
      <c r="E32" s="22"/>
      <c r="F32" s="23"/>
    </row>
    <row r="33" spans="1:5" s="25" customFormat="1" ht="12.75">
      <c r="A33" s="5" t="s">
        <v>19</v>
      </c>
      <c r="B33" s="24"/>
      <c r="C33" s="24"/>
      <c r="D33" s="24">
        <f>+assumptions!F11*Units</f>
        <v>1470360</v>
      </c>
      <c r="E33" s="21"/>
    </row>
    <row r="34" spans="1:7" s="25" customFormat="1" ht="12.75">
      <c r="A34" s="22" t="s">
        <v>153</v>
      </c>
      <c r="B34" s="22"/>
      <c r="C34" s="22"/>
      <c r="D34" s="26">
        <f>+D10*0.1</f>
        <v>14731.2</v>
      </c>
      <c r="E34" s="23"/>
      <c r="F34"/>
      <c r="G34"/>
    </row>
    <row r="35" spans="1:7" s="25" customFormat="1" ht="12.75">
      <c r="A35" s="22" t="s">
        <v>20</v>
      </c>
      <c r="B35" s="22"/>
      <c r="C35" s="22"/>
      <c r="D35" s="23">
        <f>+D31-D34</f>
        <v>39444.96000000001</v>
      </c>
      <c r="E35" s="23"/>
      <c r="F35"/>
      <c r="G35" s="21"/>
    </row>
    <row r="36" spans="1:7" s="25" customFormat="1" ht="12.75">
      <c r="A36" s="33" t="s">
        <v>113</v>
      </c>
      <c r="B36" s="22"/>
      <c r="C36" s="22"/>
      <c r="D36" s="23">
        <f>+D35/12</f>
        <v>3287.0800000000004</v>
      </c>
      <c r="E36" s="23"/>
      <c r="F36"/>
      <c r="G36" s="21"/>
    </row>
    <row r="37" spans="1:7" s="25" customFormat="1" ht="12.75">
      <c r="A37" s="22" t="s">
        <v>114</v>
      </c>
      <c r="B37" s="27"/>
      <c r="C37" s="28"/>
      <c r="D37" s="29">
        <f>B37+C37/10000+RATE(+D39*12,-D36,+D33)</f>
        <v>0.00029679424203596036</v>
      </c>
      <c r="E37" s="29"/>
      <c r="F37"/>
      <c r="G37" s="21"/>
    </row>
    <row r="38" spans="1:7" s="25" customFormat="1" ht="12.75">
      <c r="A38" s="33" t="s">
        <v>115</v>
      </c>
      <c r="B38" s="27"/>
      <c r="C38" s="28"/>
      <c r="D38" s="124">
        <f>+D37*12</f>
        <v>0.0035615309044315243</v>
      </c>
      <c r="E38" s="29"/>
      <c r="F38"/>
      <c r="G38" s="21"/>
    </row>
    <row r="39" spans="1:7" s="25" customFormat="1" ht="12.75">
      <c r="A39" s="22" t="s">
        <v>21</v>
      </c>
      <c r="D39" s="4">
        <v>40</v>
      </c>
      <c r="E39" s="21"/>
      <c r="F39"/>
      <c r="G39" s="21"/>
    </row>
    <row r="40" spans="1:7" s="25" customFormat="1" ht="12.75">
      <c r="A40" s="30" t="s">
        <v>22</v>
      </c>
      <c r="B40" s="31"/>
      <c r="C40" s="31"/>
      <c r="D40" s="32">
        <f>+D33</f>
        <v>1470360</v>
      </c>
      <c r="E40" s="23">
        <f>D40/Units</f>
        <v>61265</v>
      </c>
      <c r="F40"/>
      <c r="G40" s="21"/>
    </row>
    <row r="41" spans="1:7" s="25" customFormat="1" ht="12.75">
      <c r="A41" s="33"/>
      <c r="D41" s="12"/>
      <c r="E41" s="21"/>
      <c r="F41"/>
      <c r="G41" s="21"/>
    </row>
    <row r="42" spans="1:7" s="25" customFormat="1" ht="12.75">
      <c r="A42" s="33"/>
      <c r="D42" s="34"/>
      <c r="E42" s="23"/>
      <c r="F42"/>
      <c r="G42" s="21"/>
    </row>
    <row r="43" spans="1:7" s="2" customFormat="1" ht="12.75">
      <c r="A43" s="52" t="s">
        <v>24</v>
      </c>
      <c r="D43" s="41">
        <f>+D31-D35</f>
        <v>14731.199999999997</v>
      </c>
      <c r="E43" s="21"/>
      <c r="G43" s="21"/>
    </row>
    <row r="44" spans="1:7" s="25" customFormat="1" ht="12.75">
      <c r="A44" s="22"/>
      <c r="E44" s="21"/>
      <c r="F44"/>
      <c r="G44" s="21"/>
    </row>
    <row r="45" spans="1:7" s="25" customFormat="1" ht="12.75">
      <c r="A45" s="35"/>
      <c r="E45" s="21"/>
      <c r="F45"/>
      <c r="G45" s="21"/>
    </row>
    <row r="46" spans="1:7" ht="12.75">
      <c r="A46" s="36"/>
      <c r="D46" s="11"/>
      <c r="E46" s="23"/>
      <c r="G46" s="11"/>
    </row>
    <row r="47" spans="1:7" ht="12.75">
      <c r="A47" s="36"/>
      <c r="B47" s="9"/>
      <c r="D47" s="11"/>
      <c r="E47" s="23"/>
      <c r="G47" s="11"/>
    </row>
    <row r="48" spans="1:6" ht="12.75">
      <c r="A48" s="36"/>
      <c r="B48" s="9"/>
      <c r="D48" s="37"/>
      <c r="F48" s="38"/>
    </row>
    <row r="49" spans="1:4" ht="12.75">
      <c r="A49" s="39"/>
      <c r="B49" s="9"/>
      <c r="C49" s="25"/>
      <c r="D49" s="37"/>
    </row>
    <row r="50" spans="1:4" ht="12.75">
      <c r="A50" s="39"/>
      <c r="B50" s="9"/>
      <c r="C50" s="25"/>
      <c r="D50" s="37"/>
    </row>
    <row r="51" spans="1:7" ht="12.75">
      <c r="A51" s="39"/>
      <c r="B51" s="25"/>
      <c r="C51" s="25"/>
      <c r="D51" s="11"/>
      <c r="F51" s="34"/>
      <c r="G51" s="34"/>
    </row>
    <row r="52" spans="1:7" ht="12.75">
      <c r="A52" s="39"/>
      <c r="B52" s="25"/>
      <c r="C52" s="25"/>
      <c r="D52" s="11"/>
      <c r="F52" s="34"/>
      <c r="G52" s="34"/>
    </row>
    <row r="53" spans="1:7" ht="12.75">
      <c r="A53" s="39"/>
      <c r="D53" s="11"/>
      <c r="F53" s="10"/>
      <c r="G53" s="10"/>
    </row>
    <row r="54" spans="1:7" ht="12.75">
      <c r="A54" s="39"/>
      <c r="D54" s="11"/>
      <c r="F54" s="10"/>
      <c r="G54" s="10"/>
    </row>
    <row r="55" spans="1:7" ht="12.75">
      <c r="A55" s="39"/>
      <c r="C55" s="40"/>
      <c r="D55" s="10"/>
      <c r="F55" s="10"/>
      <c r="G55" s="10"/>
    </row>
    <row r="56" spans="1:7" ht="12.75">
      <c r="A56" s="39"/>
      <c r="C56" s="11"/>
      <c r="D56" s="34"/>
      <c r="F56" s="10"/>
      <c r="G56" s="10"/>
    </row>
    <row r="57" spans="1:7" ht="12.75">
      <c r="A57" s="39"/>
      <c r="C57" s="11"/>
      <c r="D57" s="11"/>
      <c r="F57" s="10"/>
      <c r="G57" s="10"/>
    </row>
    <row r="58" spans="1:7" ht="12.75">
      <c r="A58" s="31"/>
      <c r="B58" s="31"/>
      <c r="C58" s="31"/>
      <c r="D58" s="32"/>
      <c r="F58" s="10"/>
      <c r="G58" s="10"/>
    </row>
    <row r="59" spans="5:7" ht="12.75">
      <c r="E59" s="10"/>
      <c r="F59" s="10"/>
      <c r="G59" s="10"/>
    </row>
    <row r="60" spans="1:7" ht="12.75">
      <c r="A60" s="20"/>
      <c r="D60" s="41"/>
      <c r="E60" s="10"/>
      <c r="F60" s="10"/>
      <c r="G60" s="10"/>
    </row>
    <row r="61" spans="5:7" ht="12.75">
      <c r="E61" s="10"/>
      <c r="F61" s="10"/>
      <c r="G61" s="10"/>
    </row>
    <row r="62" spans="5:7" ht="12.75">
      <c r="E62" s="10"/>
      <c r="F62" s="10"/>
      <c r="G62" s="10"/>
    </row>
    <row r="63" spans="5:7" ht="12.75">
      <c r="E63" s="10"/>
      <c r="F63" s="10"/>
      <c r="G63" s="10"/>
    </row>
    <row r="64" spans="5:7" ht="12.75">
      <c r="E64" s="10"/>
      <c r="F64" s="10"/>
      <c r="G64" s="10"/>
    </row>
    <row r="65" spans="5:7" ht="12.75">
      <c r="E65" s="10"/>
      <c r="F65" s="10"/>
      <c r="G65" s="10"/>
    </row>
    <row r="66" spans="5:7" ht="12.75">
      <c r="E66" s="10"/>
      <c r="F66" s="10"/>
      <c r="G66" s="10"/>
    </row>
    <row r="67" spans="5:7" ht="12.75">
      <c r="E67" s="10"/>
      <c r="F67" s="10"/>
      <c r="G67" s="10"/>
    </row>
    <row r="68" spans="5:7" ht="12.75">
      <c r="E68" s="10"/>
      <c r="F68" s="10"/>
      <c r="G68" s="10"/>
    </row>
    <row r="69" spans="5:7" ht="12.75">
      <c r="E69" s="10"/>
      <c r="F69" s="10"/>
      <c r="G69" s="10"/>
    </row>
    <row r="70" spans="5:7" ht="12.75">
      <c r="E70" s="10"/>
      <c r="F70" s="10"/>
      <c r="G70" s="10"/>
    </row>
    <row r="71" spans="5:7" ht="12.75">
      <c r="E71" s="10"/>
      <c r="F71" s="10"/>
      <c r="G71" s="10"/>
    </row>
    <row r="72" spans="5:7" ht="12.75">
      <c r="E72" s="10"/>
      <c r="F72" s="10"/>
      <c r="G72" s="10"/>
    </row>
    <row r="73" spans="5:7" ht="12.75">
      <c r="E73" s="10"/>
      <c r="F73" s="10"/>
      <c r="G73" s="10"/>
    </row>
    <row r="74" spans="5:7" ht="12.75">
      <c r="E74" s="10"/>
      <c r="F74" s="10"/>
      <c r="G74" s="10"/>
    </row>
    <row r="75" spans="5:7" ht="12.75">
      <c r="E75" s="10"/>
      <c r="F75" s="10"/>
      <c r="G75" s="10"/>
    </row>
    <row r="76" spans="5:7" ht="12.75">
      <c r="E76" s="10"/>
      <c r="F76" s="10"/>
      <c r="G76" s="10"/>
    </row>
  </sheetData>
  <printOptions/>
  <pageMargins left="0.5" right="0.34" top="0.57" bottom="0.72" header="0.5" footer="0.46"/>
  <pageSetup horizontalDpi="300" verticalDpi="300" orientation="portrait" scale="95" r:id="rId1"/>
  <headerFooter alignWithMargins="0">
    <oddFooter>&amp;L&amp;F, &amp;A&amp;CPage &amp;P of &amp;N&amp;R&amp;D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32"/>
  <sheetViews>
    <sheetView tabSelected="1" workbookViewId="0" topLeftCell="A1">
      <selection activeCell="E29" sqref="E29"/>
    </sheetView>
  </sheetViews>
  <sheetFormatPr defaultColWidth="9.140625" defaultRowHeight="12.75"/>
  <cols>
    <col min="5" max="5" width="11.28125" style="0" bestFit="1" customWidth="1"/>
    <col min="7" max="7" width="10.140625" style="0" bestFit="1" customWidth="1"/>
  </cols>
  <sheetData>
    <row r="1" spans="1:7" ht="12.75">
      <c r="A1" s="2" t="s">
        <v>161</v>
      </c>
      <c r="G1" s="129">
        <f ca="1">TODAY()</f>
        <v>37209</v>
      </c>
    </row>
    <row r="3" ht="12.75">
      <c r="A3" t="s">
        <v>126</v>
      </c>
    </row>
    <row r="4" spans="1:6" ht="12.75">
      <c r="A4" t="s">
        <v>148</v>
      </c>
      <c r="F4">
        <v>24</v>
      </c>
    </row>
    <row r="5" spans="1:6" ht="12.75">
      <c r="A5" t="s">
        <v>109</v>
      </c>
      <c r="F5">
        <v>38500</v>
      </c>
    </row>
    <row r="6" ht="12.75">
      <c r="A6" t="s">
        <v>127</v>
      </c>
    </row>
    <row r="7" spans="1:6" ht="12.75">
      <c r="A7" t="s">
        <v>149</v>
      </c>
      <c r="F7" s="82">
        <v>0.6</v>
      </c>
    </row>
    <row r="8" ht="12.75">
      <c r="A8" t="s">
        <v>129</v>
      </c>
    </row>
    <row r="9" ht="12.75">
      <c r="A9" t="s">
        <v>128</v>
      </c>
    </row>
    <row r="10" spans="1:6" ht="12.75">
      <c r="A10" t="s">
        <v>154</v>
      </c>
      <c r="F10">
        <v>10</v>
      </c>
    </row>
    <row r="11" spans="1:6" ht="12.75">
      <c r="A11" t="s">
        <v>130</v>
      </c>
      <c r="F11">
        <v>61265</v>
      </c>
    </row>
    <row r="12" spans="1:6" ht="12.75">
      <c r="A12" t="s">
        <v>164</v>
      </c>
      <c r="F12" s="82">
        <v>0.05</v>
      </c>
    </row>
    <row r="13" spans="1:6" ht="12.75">
      <c r="A13" t="s">
        <v>165</v>
      </c>
      <c r="F13" s="82">
        <v>0.07</v>
      </c>
    </row>
    <row r="14" spans="1:6" ht="12.75">
      <c r="A14" t="s">
        <v>131</v>
      </c>
      <c r="F14">
        <v>2500</v>
      </c>
    </row>
    <row r="15" spans="1:6" ht="12.75">
      <c r="A15" t="s">
        <v>132</v>
      </c>
      <c r="F15">
        <v>2653</v>
      </c>
    </row>
    <row r="16" spans="1:6" ht="12.75">
      <c r="A16" t="s">
        <v>152</v>
      </c>
      <c r="F16" s="88">
        <v>0.045</v>
      </c>
    </row>
    <row r="17" spans="1:6" ht="12.75">
      <c r="A17" t="s">
        <v>133</v>
      </c>
      <c r="F17">
        <v>66</v>
      </c>
    </row>
    <row r="18" spans="1:7" ht="12.75">
      <c r="A18" t="s">
        <v>134</v>
      </c>
      <c r="F18">
        <v>798</v>
      </c>
      <c r="G18" t="s">
        <v>23</v>
      </c>
    </row>
    <row r="19" ht="12.75">
      <c r="A19" t="s">
        <v>135</v>
      </c>
    </row>
    <row r="20" ht="12.75">
      <c r="A20" t="s">
        <v>136</v>
      </c>
    </row>
    <row r="21" ht="12.75">
      <c r="A21" t="s">
        <v>137</v>
      </c>
    </row>
    <row r="22" ht="12.75">
      <c r="A22" t="s">
        <v>138</v>
      </c>
    </row>
    <row r="23" ht="12.75">
      <c r="A23" t="s">
        <v>139</v>
      </c>
    </row>
    <row r="24" spans="1:6" ht="12.75">
      <c r="A24" t="s">
        <v>140</v>
      </c>
      <c r="F24" s="88">
        <f>+'Affordable proforma'!D38</f>
        <v>0.0035615309044315243</v>
      </c>
    </row>
    <row r="25" ht="12.75">
      <c r="A25" t="s">
        <v>141</v>
      </c>
    </row>
    <row r="27" spans="1:8" ht="12.75">
      <c r="A27" t="s">
        <v>142</v>
      </c>
      <c r="E27" s="125">
        <f>PMT(0.0425/12,480,+F11*F4)</f>
        <v>-6375.777971165607</v>
      </c>
      <c r="F27">
        <f>-E27*12</f>
        <v>76509.33565398728</v>
      </c>
      <c r="G27" t="s">
        <v>143</v>
      </c>
      <c r="H27" s="10">
        <f>+'Affordable proforma'!D35</f>
        <v>39444.96000000001</v>
      </c>
    </row>
    <row r="28" spans="1:6" ht="12.75">
      <c r="A28" t="s">
        <v>145</v>
      </c>
      <c r="B28">
        <f>(+F27-H27)/24</f>
        <v>1544.348985582803</v>
      </c>
      <c r="C28" t="s">
        <v>146</v>
      </c>
      <c r="E28">
        <f>B28*24</f>
        <v>37064.37565398727</v>
      </c>
      <c r="F28" t="s">
        <v>166</v>
      </c>
    </row>
    <row r="29" spans="1:9" ht="12.75">
      <c r="A29" t="s">
        <v>151</v>
      </c>
      <c r="E29" s="84">
        <f>-(+H27/F27*F11*F4)+F11*F4</f>
        <v>712304.9092082473</v>
      </c>
      <c r="F29" t="s">
        <v>144</v>
      </c>
      <c r="G29" s="88">
        <f>+E29/(F11*F4)</f>
        <v>0.4844425237412928</v>
      </c>
      <c r="H29">
        <f>+E29/F4</f>
        <v>29679.371217010306</v>
      </c>
      <c r="I29" t="s">
        <v>23</v>
      </c>
    </row>
    <row r="31" ht="12.75">
      <c r="A31" t="s">
        <v>163</v>
      </c>
    </row>
    <row r="32" ht="12.75">
      <c r="A32" t="s">
        <v>155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L186"/>
  <sheetViews>
    <sheetView zoomScale="85" zoomScaleNormal="85" workbookViewId="0" topLeftCell="A1">
      <pane xSplit="2" ySplit="1" topLeftCell="C1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34" sqref="A34"/>
    </sheetView>
  </sheetViews>
  <sheetFormatPr defaultColWidth="9.140625" defaultRowHeight="12.75"/>
  <cols>
    <col min="1" max="1" width="33.57421875" style="0" bestFit="1" customWidth="1"/>
    <col min="2" max="2" width="10.7109375" style="107" bestFit="1" customWidth="1"/>
    <col min="3" max="3" width="10.28125" style="0" bestFit="1" customWidth="1"/>
    <col min="4" max="4" width="7.421875" style="88" bestFit="1" customWidth="1"/>
    <col min="5" max="45" width="10.7109375" style="0" bestFit="1" customWidth="1"/>
    <col min="46" max="64" width="4.57421875" style="0" bestFit="1" customWidth="1"/>
  </cols>
  <sheetData>
    <row r="1" spans="1:5" ht="15.75">
      <c r="A1" s="1" t="s">
        <v>162</v>
      </c>
      <c r="B1" s="106"/>
      <c r="C1" s="129">
        <f ca="1">TODAY()</f>
        <v>37209</v>
      </c>
      <c r="D1" s="87"/>
      <c r="E1" s="2"/>
    </row>
    <row r="2" ht="12.75">
      <c r="C2" s="3"/>
    </row>
    <row r="3" spans="1:3" ht="12.75">
      <c r="A3" t="s">
        <v>107</v>
      </c>
      <c r="B3" s="107">
        <f>+'Affordable proforma'!B8</f>
        <v>511.5</v>
      </c>
      <c r="C3" s="3"/>
    </row>
    <row r="4" spans="1:3" ht="12.75">
      <c r="A4" t="s">
        <v>0</v>
      </c>
      <c r="B4" s="108">
        <f>+assumptions!F4</f>
        <v>24</v>
      </c>
      <c r="C4" s="3"/>
    </row>
    <row r="5" spans="2:45" s="2" customFormat="1" ht="12.75">
      <c r="B5" s="106"/>
      <c r="C5" s="3"/>
      <c r="D5" s="87"/>
      <c r="E5" s="3">
        <v>2001</v>
      </c>
      <c r="F5" s="3">
        <v>2002</v>
      </c>
      <c r="G5" s="3">
        <v>2003</v>
      </c>
      <c r="H5" s="3">
        <v>2004</v>
      </c>
      <c r="I5" s="3">
        <v>2005</v>
      </c>
      <c r="J5" s="3">
        <v>2006</v>
      </c>
      <c r="K5" s="3">
        <v>2007</v>
      </c>
      <c r="L5" s="3">
        <v>2008</v>
      </c>
      <c r="M5" s="3">
        <v>2009</v>
      </c>
      <c r="N5" s="3">
        <v>2010</v>
      </c>
      <c r="O5" s="2">
        <f>+N5+1</f>
        <v>2011</v>
      </c>
      <c r="P5" s="2">
        <f aca="true" t="shared" si="0" ref="P5:AS5">+O5+1</f>
        <v>2012</v>
      </c>
      <c r="Q5" s="2">
        <f t="shared" si="0"/>
        <v>2013</v>
      </c>
      <c r="R5" s="2">
        <f t="shared" si="0"/>
        <v>2014</v>
      </c>
      <c r="S5" s="2">
        <f t="shared" si="0"/>
        <v>2015</v>
      </c>
      <c r="T5" s="2">
        <f t="shared" si="0"/>
        <v>2016</v>
      </c>
      <c r="U5" s="2">
        <f t="shared" si="0"/>
        <v>2017</v>
      </c>
      <c r="V5" s="2">
        <f t="shared" si="0"/>
        <v>2018</v>
      </c>
      <c r="W5" s="2">
        <f t="shared" si="0"/>
        <v>2019</v>
      </c>
      <c r="X5" s="2">
        <f t="shared" si="0"/>
        <v>2020</v>
      </c>
      <c r="Y5" s="2">
        <f t="shared" si="0"/>
        <v>2021</v>
      </c>
      <c r="Z5" s="2">
        <f t="shared" si="0"/>
        <v>2022</v>
      </c>
      <c r="AA5" s="2">
        <f t="shared" si="0"/>
        <v>2023</v>
      </c>
      <c r="AB5" s="2">
        <f>+AA5+1</f>
        <v>2024</v>
      </c>
      <c r="AC5" s="2">
        <f t="shared" si="0"/>
        <v>2025</v>
      </c>
      <c r="AD5" s="2">
        <f t="shared" si="0"/>
        <v>2026</v>
      </c>
      <c r="AE5" s="2">
        <f t="shared" si="0"/>
        <v>2027</v>
      </c>
      <c r="AF5" s="2">
        <f t="shared" si="0"/>
        <v>2028</v>
      </c>
      <c r="AG5" s="2">
        <f t="shared" si="0"/>
        <v>2029</v>
      </c>
      <c r="AH5" s="2">
        <f t="shared" si="0"/>
        <v>2030</v>
      </c>
      <c r="AI5" s="2">
        <f t="shared" si="0"/>
        <v>2031</v>
      </c>
      <c r="AJ5" s="2">
        <f t="shared" si="0"/>
        <v>2032</v>
      </c>
      <c r="AK5" s="2">
        <f t="shared" si="0"/>
        <v>2033</v>
      </c>
      <c r="AL5" s="2">
        <f t="shared" si="0"/>
        <v>2034</v>
      </c>
      <c r="AM5" s="2">
        <f t="shared" si="0"/>
        <v>2035</v>
      </c>
      <c r="AN5" s="2">
        <f t="shared" si="0"/>
        <v>2036</v>
      </c>
      <c r="AO5" s="2">
        <f t="shared" si="0"/>
        <v>2037</v>
      </c>
      <c r="AP5" s="2">
        <f t="shared" si="0"/>
        <v>2038</v>
      </c>
      <c r="AQ5" s="2">
        <f t="shared" si="0"/>
        <v>2039</v>
      </c>
      <c r="AR5" s="2">
        <f t="shared" si="0"/>
        <v>2040</v>
      </c>
      <c r="AS5" s="2">
        <f t="shared" si="0"/>
        <v>2041</v>
      </c>
    </row>
    <row r="6" spans="1:45" ht="12.75">
      <c r="A6" s="5" t="s">
        <v>1</v>
      </c>
      <c r="B6" s="109"/>
      <c r="C6" s="8" t="s">
        <v>116</v>
      </c>
      <c r="D6" s="89" t="s">
        <v>47</v>
      </c>
      <c r="E6" s="7" t="s">
        <v>2</v>
      </c>
      <c r="F6" s="7" t="s">
        <v>2</v>
      </c>
      <c r="G6" s="7" t="s">
        <v>2</v>
      </c>
      <c r="H6" s="7" t="s">
        <v>2</v>
      </c>
      <c r="I6" s="7" t="s">
        <v>2</v>
      </c>
      <c r="J6" s="7" t="s">
        <v>2</v>
      </c>
      <c r="K6" s="7" t="s">
        <v>2</v>
      </c>
      <c r="L6" s="7" t="s">
        <v>2</v>
      </c>
      <c r="M6" s="7" t="s">
        <v>2</v>
      </c>
      <c r="N6" s="7" t="s">
        <v>2</v>
      </c>
      <c r="O6" s="7" t="s">
        <v>2</v>
      </c>
      <c r="P6" s="7" t="s">
        <v>2</v>
      </c>
      <c r="Q6" s="7" t="s">
        <v>2</v>
      </c>
      <c r="R6" s="7" t="s">
        <v>2</v>
      </c>
      <c r="S6" s="7" t="s">
        <v>2</v>
      </c>
      <c r="T6" s="7" t="s">
        <v>2</v>
      </c>
      <c r="U6" s="7" t="s">
        <v>2</v>
      </c>
      <c r="V6" s="7" t="s">
        <v>2</v>
      </c>
      <c r="W6" s="7" t="s">
        <v>2</v>
      </c>
      <c r="X6" s="7" t="s">
        <v>2</v>
      </c>
      <c r="Y6" s="7" t="s">
        <v>2</v>
      </c>
      <c r="Z6" s="7" t="s">
        <v>2</v>
      </c>
      <c r="AA6" s="7" t="s">
        <v>2</v>
      </c>
      <c r="AB6" s="7" t="s">
        <v>2</v>
      </c>
      <c r="AC6" s="7" t="s">
        <v>2</v>
      </c>
      <c r="AD6" s="7" t="s">
        <v>2</v>
      </c>
      <c r="AE6" s="7" t="s">
        <v>2</v>
      </c>
      <c r="AF6" s="7" t="s">
        <v>2</v>
      </c>
      <c r="AG6" s="7" t="s">
        <v>2</v>
      </c>
      <c r="AH6" s="7" t="s">
        <v>2</v>
      </c>
      <c r="AI6" s="7" t="s">
        <v>2</v>
      </c>
      <c r="AJ6" s="7" t="s">
        <v>2</v>
      </c>
      <c r="AK6" s="7" t="s">
        <v>2</v>
      </c>
      <c r="AL6" s="7" t="s">
        <v>2</v>
      </c>
      <c r="AM6" s="7" t="s">
        <v>2</v>
      </c>
      <c r="AN6" s="7" t="s">
        <v>2</v>
      </c>
      <c r="AO6" s="7" t="s">
        <v>2</v>
      </c>
      <c r="AP6" s="7" t="s">
        <v>2</v>
      </c>
      <c r="AQ6" s="7" t="s">
        <v>2</v>
      </c>
      <c r="AR6" s="7" t="s">
        <v>2</v>
      </c>
      <c r="AS6" s="7" t="s">
        <v>2</v>
      </c>
    </row>
    <row r="7" spans="1:45" s="84" customFormat="1" ht="12.75">
      <c r="A7" s="84" t="s">
        <v>3</v>
      </c>
      <c r="B7" s="107"/>
      <c r="C7" s="96">
        <f>+B3*Units*12</f>
        <v>147312</v>
      </c>
      <c r="D7" s="126">
        <v>0.03</v>
      </c>
      <c r="E7" s="84">
        <f>C7</f>
        <v>147312</v>
      </c>
      <c r="F7" s="84">
        <f>E7*(1+$D7)</f>
        <v>151731.36000000002</v>
      </c>
      <c r="G7" s="84">
        <f aca="true" t="shared" si="1" ref="G7:N7">F7*(1+$D7)</f>
        <v>156283.30080000003</v>
      </c>
      <c r="H7" s="84">
        <f t="shared" si="1"/>
        <v>160971.79982400005</v>
      </c>
      <c r="I7" s="84">
        <f t="shared" si="1"/>
        <v>165800.95381872004</v>
      </c>
      <c r="J7" s="84">
        <f t="shared" si="1"/>
        <v>170774.98243328164</v>
      </c>
      <c r="K7" s="84">
        <f t="shared" si="1"/>
        <v>175898.2319062801</v>
      </c>
      <c r="L7" s="84">
        <f t="shared" si="1"/>
        <v>181175.1788634685</v>
      </c>
      <c r="M7" s="84">
        <f t="shared" si="1"/>
        <v>186610.43422937256</v>
      </c>
      <c r="N7" s="84">
        <f t="shared" si="1"/>
        <v>192208.74725625376</v>
      </c>
      <c r="O7" s="84">
        <f aca="true" t="shared" si="2" ref="O7:AS7">N7*(1+$D7)</f>
        <v>197975.0096739414</v>
      </c>
      <c r="P7" s="84">
        <f t="shared" si="2"/>
        <v>203914.25996415963</v>
      </c>
      <c r="Q7" s="84">
        <f t="shared" si="2"/>
        <v>210031.68776308442</v>
      </c>
      <c r="R7" s="84">
        <f t="shared" si="2"/>
        <v>216332.63839597697</v>
      </c>
      <c r="S7" s="84">
        <f t="shared" si="2"/>
        <v>222822.6175478563</v>
      </c>
      <c r="T7" s="84">
        <f t="shared" si="2"/>
        <v>229507.29607429198</v>
      </c>
      <c r="U7" s="84">
        <f t="shared" si="2"/>
        <v>236392.51495652075</v>
      </c>
      <c r="V7" s="84">
        <f t="shared" si="2"/>
        <v>243484.2904052164</v>
      </c>
      <c r="W7" s="84">
        <f t="shared" si="2"/>
        <v>250788.81911737288</v>
      </c>
      <c r="X7" s="84">
        <f t="shared" si="2"/>
        <v>258312.48369089406</v>
      </c>
      <c r="Y7" s="84">
        <f t="shared" si="2"/>
        <v>266061.85820162087</v>
      </c>
      <c r="Z7" s="84">
        <f t="shared" si="2"/>
        <v>274043.7139476695</v>
      </c>
      <c r="AA7" s="84">
        <f t="shared" si="2"/>
        <v>282265.02536609955</v>
      </c>
      <c r="AB7" s="84">
        <f t="shared" si="2"/>
        <v>290732.97612708254</v>
      </c>
      <c r="AC7" s="84">
        <f t="shared" si="2"/>
        <v>299454.965410895</v>
      </c>
      <c r="AD7" s="84">
        <f t="shared" si="2"/>
        <v>308438.6143732219</v>
      </c>
      <c r="AE7" s="84">
        <f t="shared" si="2"/>
        <v>317691.7728044185</v>
      </c>
      <c r="AF7" s="84">
        <f t="shared" si="2"/>
        <v>327222.5259885511</v>
      </c>
      <c r="AG7" s="84">
        <f t="shared" si="2"/>
        <v>337039.20176820765</v>
      </c>
      <c r="AH7" s="84">
        <f t="shared" si="2"/>
        <v>347150.3778212539</v>
      </c>
      <c r="AI7" s="84">
        <f t="shared" si="2"/>
        <v>357564.88915589155</v>
      </c>
      <c r="AJ7" s="84">
        <f t="shared" si="2"/>
        <v>368291.8358305683</v>
      </c>
      <c r="AK7" s="84">
        <f t="shared" si="2"/>
        <v>379340.5909054853</v>
      </c>
      <c r="AL7" s="84">
        <f t="shared" si="2"/>
        <v>390720.8086326499</v>
      </c>
      <c r="AM7" s="84">
        <f t="shared" si="2"/>
        <v>402442.4328916294</v>
      </c>
      <c r="AN7" s="84">
        <f t="shared" si="2"/>
        <v>414515.7058783783</v>
      </c>
      <c r="AO7" s="84">
        <f t="shared" si="2"/>
        <v>426951.17705472966</v>
      </c>
      <c r="AP7" s="84">
        <f t="shared" si="2"/>
        <v>439759.7123663716</v>
      </c>
      <c r="AQ7" s="84">
        <f t="shared" si="2"/>
        <v>452952.50373736274</v>
      </c>
      <c r="AR7" s="84">
        <f t="shared" si="2"/>
        <v>466541.07884948363</v>
      </c>
      <c r="AS7" s="84">
        <f t="shared" si="2"/>
        <v>480537.31121496815</v>
      </c>
    </row>
    <row r="8" spans="1:45" ht="12.75">
      <c r="A8" t="s">
        <v>4</v>
      </c>
      <c r="C8" s="11">
        <f>-D8*C7</f>
        <v>-10311.84</v>
      </c>
      <c r="D8" s="90">
        <v>0.07</v>
      </c>
      <c r="E8" s="10">
        <f>-$D8*E7</f>
        <v>-10311.84</v>
      </c>
      <c r="F8" s="10">
        <f>-$D8*F7</f>
        <v>-10621.195200000002</v>
      </c>
      <c r="G8" s="10">
        <f aca="true" t="shared" si="3" ref="G8:N8">-$D8*G7</f>
        <v>-10939.831056000003</v>
      </c>
      <c r="H8" s="10">
        <f t="shared" si="3"/>
        <v>-11268.025987680005</v>
      </c>
      <c r="I8" s="10">
        <f t="shared" si="3"/>
        <v>-11606.066767310404</v>
      </c>
      <c r="J8" s="10">
        <f t="shared" si="3"/>
        <v>-11954.248770329716</v>
      </c>
      <c r="K8" s="10">
        <f t="shared" si="3"/>
        <v>-12312.876233439609</v>
      </c>
      <c r="L8" s="10">
        <f t="shared" si="3"/>
        <v>-12682.262520442795</v>
      </c>
      <c r="M8" s="10">
        <f t="shared" si="3"/>
        <v>-13062.73039605608</v>
      </c>
      <c r="N8" s="10">
        <f t="shared" si="3"/>
        <v>-13454.612307937765</v>
      </c>
      <c r="O8" s="10">
        <f aca="true" t="shared" si="4" ref="O8:AS8">-$D8*O7</f>
        <v>-13858.250677175898</v>
      </c>
      <c r="P8" s="10">
        <f t="shared" si="4"/>
        <v>-14273.998197491175</v>
      </c>
      <c r="Q8" s="10">
        <f t="shared" si="4"/>
        <v>-14702.218143415912</v>
      </c>
      <c r="R8" s="10">
        <f t="shared" si="4"/>
        <v>-15143.28468771839</v>
      </c>
      <c r="S8" s="10">
        <f t="shared" si="4"/>
        <v>-15597.583228349942</v>
      </c>
      <c r="T8" s="10">
        <f t="shared" si="4"/>
        <v>-16065.51072520044</v>
      </c>
      <c r="U8" s="10">
        <f t="shared" si="4"/>
        <v>-16547.476046956454</v>
      </c>
      <c r="V8" s="10">
        <f t="shared" si="4"/>
        <v>-17043.90032836515</v>
      </c>
      <c r="W8" s="10">
        <f t="shared" si="4"/>
        <v>-17555.2173382161</v>
      </c>
      <c r="X8" s="10">
        <f t="shared" si="4"/>
        <v>-18081.873858362585</v>
      </c>
      <c r="Y8" s="10">
        <f t="shared" si="4"/>
        <v>-18624.330074113463</v>
      </c>
      <c r="Z8" s="10">
        <f t="shared" si="4"/>
        <v>-19183.059976336866</v>
      </c>
      <c r="AA8" s="10">
        <f t="shared" si="4"/>
        <v>-19758.55177562697</v>
      </c>
      <c r="AB8" s="10">
        <f t="shared" si="4"/>
        <v>-20351.30832889578</v>
      </c>
      <c r="AC8" s="10">
        <f t="shared" si="4"/>
        <v>-20961.847578762652</v>
      </c>
      <c r="AD8" s="10">
        <f t="shared" si="4"/>
        <v>-21590.703006125532</v>
      </c>
      <c r="AE8" s="10">
        <f t="shared" si="4"/>
        <v>-22238.4240963093</v>
      </c>
      <c r="AF8" s="10">
        <f t="shared" si="4"/>
        <v>-22905.576819198577</v>
      </c>
      <c r="AG8" s="10">
        <f t="shared" si="4"/>
        <v>-23592.744123774537</v>
      </c>
      <c r="AH8" s="10">
        <f t="shared" si="4"/>
        <v>-24300.526447487777</v>
      </c>
      <c r="AI8" s="10">
        <f t="shared" si="4"/>
        <v>-25029.54224091241</v>
      </c>
      <c r="AJ8" s="10">
        <f t="shared" si="4"/>
        <v>-25780.428508139783</v>
      </c>
      <c r="AK8" s="10">
        <f t="shared" si="4"/>
        <v>-26553.841363383974</v>
      </c>
      <c r="AL8" s="10">
        <f t="shared" si="4"/>
        <v>-27350.456604285493</v>
      </c>
      <c r="AM8" s="10">
        <f t="shared" si="4"/>
        <v>-28170.97030241406</v>
      </c>
      <c r="AN8" s="10">
        <f t="shared" si="4"/>
        <v>-29016.099411486484</v>
      </c>
      <c r="AO8" s="10">
        <f t="shared" si="4"/>
        <v>-29886.58239383108</v>
      </c>
      <c r="AP8" s="10">
        <f t="shared" si="4"/>
        <v>-30783.179865646016</v>
      </c>
      <c r="AQ8" s="10">
        <f t="shared" si="4"/>
        <v>-31706.675261615394</v>
      </c>
      <c r="AR8" s="10">
        <f t="shared" si="4"/>
        <v>-32657.875519463858</v>
      </c>
      <c r="AS8" s="10">
        <f t="shared" si="4"/>
        <v>-33637.611785047775</v>
      </c>
    </row>
    <row r="9" spans="1:5" ht="12.75">
      <c r="A9" s="36" t="s">
        <v>27</v>
      </c>
      <c r="C9" s="13">
        <v>0</v>
      </c>
      <c r="D9" s="90"/>
      <c r="E9" s="13"/>
    </row>
    <row r="10" spans="1:45" s="84" customFormat="1" ht="12.75">
      <c r="A10" s="84" t="s">
        <v>5</v>
      </c>
      <c r="B10" s="107"/>
      <c r="C10" s="84">
        <f>SUM(C7:C8)</f>
        <v>137000.16</v>
      </c>
      <c r="E10" s="84">
        <f>SUM(E7:E8)</f>
        <v>137000.16</v>
      </c>
      <c r="F10" s="84">
        <f>SUM(F7:F8)</f>
        <v>141110.16480000003</v>
      </c>
      <c r="G10" s="84">
        <f aca="true" t="shared" si="5" ref="G10:N10">SUM(G7:G8)</f>
        <v>145343.46974400003</v>
      </c>
      <c r="H10" s="84">
        <f t="shared" si="5"/>
        <v>149703.77383632003</v>
      </c>
      <c r="I10" s="84">
        <f t="shared" si="5"/>
        <v>154194.88705140963</v>
      </c>
      <c r="J10" s="84">
        <f t="shared" si="5"/>
        <v>158820.7336629519</v>
      </c>
      <c r="K10" s="84">
        <f t="shared" si="5"/>
        <v>163585.3556728405</v>
      </c>
      <c r="L10" s="84">
        <f t="shared" si="5"/>
        <v>168492.9163430257</v>
      </c>
      <c r="M10" s="84">
        <f t="shared" si="5"/>
        <v>173547.70383331648</v>
      </c>
      <c r="N10" s="84">
        <f t="shared" si="5"/>
        <v>178754.134948316</v>
      </c>
      <c r="O10" s="84">
        <f aca="true" t="shared" si="6" ref="O10:AS10">SUM(O7:O8)</f>
        <v>184116.75899676548</v>
      </c>
      <c r="P10" s="84">
        <f t="shared" si="6"/>
        <v>189640.26176666847</v>
      </c>
      <c r="Q10" s="84">
        <f t="shared" si="6"/>
        <v>195329.46961966853</v>
      </c>
      <c r="R10" s="84">
        <f t="shared" si="6"/>
        <v>201189.3537082586</v>
      </c>
      <c r="S10" s="84">
        <f t="shared" si="6"/>
        <v>207225.03431950635</v>
      </c>
      <c r="T10" s="84">
        <f t="shared" si="6"/>
        <v>213441.78534909154</v>
      </c>
      <c r="U10" s="84">
        <f t="shared" si="6"/>
        <v>219845.0389095643</v>
      </c>
      <c r="V10" s="84">
        <f t="shared" si="6"/>
        <v>226440.39007685124</v>
      </c>
      <c r="W10" s="84">
        <f t="shared" si="6"/>
        <v>233233.60177915677</v>
      </c>
      <c r="X10" s="84">
        <f t="shared" si="6"/>
        <v>240230.60983253148</v>
      </c>
      <c r="Y10" s="84">
        <f t="shared" si="6"/>
        <v>247437.5281275074</v>
      </c>
      <c r="Z10" s="84">
        <f t="shared" si="6"/>
        <v>254860.65397133262</v>
      </c>
      <c r="AA10" s="84">
        <f t="shared" si="6"/>
        <v>262506.4735904726</v>
      </c>
      <c r="AB10" s="84">
        <f t="shared" si="6"/>
        <v>270381.66779818677</v>
      </c>
      <c r="AC10" s="84">
        <f t="shared" si="6"/>
        <v>278493.1178321324</v>
      </c>
      <c r="AD10" s="84">
        <f t="shared" si="6"/>
        <v>286847.91136709636</v>
      </c>
      <c r="AE10" s="84">
        <f t="shared" si="6"/>
        <v>295453.34870810923</v>
      </c>
      <c r="AF10" s="84">
        <f t="shared" si="6"/>
        <v>304316.94916935253</v>
      </c>
      <c r="AG10" s="84">
        <f t="shared" si="6"/>
        <v>313446.45764443313</v>
      </c>
      <c r="AH10" s="84">
        <f t="shared" si="6"/>
        <v>322849.85137376614</v>
      </c>
      <c r="AI10" s="84">
        <f t="shared" si="6"/>
        <v>332535.34691497916</v>
      </c>
      <c r="AJ10" s="84">
        <f t="shared" si="6"/>
        <v>342511.4073224285</v>
      </c>
      <c r="AK10" s="84">
        <f t="shared" si="6"/>
        <v>352786.74954210134</v>
      </c>
      <c r="AL10" s="84">
        <f t="shared" si="6"/>
        <v>363370.3520283644</v>
      </c>
      <c r="AM10" s="84">
        <f t="shared" si="6"/>
        <v>374271.46258921537</v>
      </c>
      <c r="AN10" s="84">
        <f t="shared" si="6"/>
        <v>385499.6064668918</v>
      </c>
      <c r="AO10" s="84">
        <f t="shared" si="6"/>
        <v>397064.59466089855</v>
      </c>
      <c r="AP10" s="84">
        <f t="shared" si="6"/>
        <v>408976.5325007256</v>
      </c>
      <c r="AQ10" s="84">
        <f t="shared" si="6"/>
        <v>421245.8284757474</v>
      </c>
      <c r="AR10" s="84">
        <f t="shared" si="6"/>
        <v>433883.2033300198</v>
      </c>
      <c r="AS10" s="84">
        <f t="shared" si="6"/>
        <v>446899.6994299204</v>
      </c>
    </row>
    <row r="11" spans="1:45" ht="12.75">
      <c r="A11" t="s">
        <v>6</v>
      </c>
      <c r="C11" s="11">
        <v>0</v>
      </c>
      <c r="D11" s="90">
        <v>0</v>
      </c>
      <c r="E11" s="11">
        <f>C11</f>
        <v>0</v>
      </c>
      <c r="F11" s="10">
        <f>E11*(1+$D11)</f>
        <v>0</v>
      </c>
      <c r="G11" s="10">
        <f aca="true" t="shared" si="7" ref="G11:N11">F11*(1+$D11)</f>
        <v>0</v>
      </c>
      <c r="H11" s="10">
        <f t="shared" si="7"/>
        <v>0</v>
      </c>
      <c r="I11" s="10">
        <f t="shared" si="7"/>
        <v>0</v>
      </c>
      <c r="J11" s="10">
        <f t="shared" si="7"/>
        <v>0</v>
      </c>
      <c r="K11" s="10">
        <f t="shared" si="7"/>
        <v>0</v>
      </c>
      <c r="L11" s="10">
        <f t="shared" si="7"/>
        <v>0</v>
      </c>
      <c r="M11" s="10">
        <f t="shared" si="7"/>
        <v>0</v>
      </c>
      <c r="N11" s="10">
        <f t="shared" si="7"/>
        <v>0</v>
      </c>
      <c r="O11" s="10">
        <f aca="true" t="shared" si="8" ref="O11:AS11">N11*(1+$D11)</f>
        <v>0</v>
      </c>
      <c r="P11" s="10">
        <f t="shared" si="8"/>
        <v>0</v>
      </c>
      <c r="Q11" s="10">
        <f t="shared" si="8"/>
        <v>0</v>
      </c>
      <c r="R11" s="10">
        <f t="shared" si="8"/>
        <v>0</v>
      </c>
      <c r="S11" s="10">
        <f t="shared" si="8"/>
        <v>0</v>
      </c>
      <c r="T11" s="10">
        <f t="shared" si="8"/>
        <v>0</v>
      </c>
      <c r="U11" s="10">
        <f t="shared" si="8"/>
        <v>0</v>
      </c>
      <c r="V11" s="10">
        <f t="shared" si="8"/>
        <v>0</v>
      </c>
      <c r="W11" s="10">
        <f t="shared" si="8"/>
        <v>0</v>
      </c>
      <c r="X11" s="10">
        <f t="shared" si="8"/>
        <v>0</v>
      </c>
      <c r="Y11" s="10">
        <f t="shared" si="8"/>
        <v>0</v>
      </c>
      <c r="Z11" s="10">
        <f t="shared" si="8"/>
        <v>0</v>
      </c>
      <c r="AA11" s="10">
        <f t="shared" si="8"/>
        <v>0</v>
      </c>
      <c r="AB11" s="10">
        <f t="shared" si="8"/>
        <v>0</v>
      </c>
      <c r="AC11" s="10">
        <f t="shared" si="8"/>
        <v>0</v>
      </c>
      <c r="AD11" s="10">
        <f t="shared" si="8"/>
        <v>0</v>
      </c>
      <c r="AE11" s="10">
        <f t="shared" si="8"/>
        <v>0</v>
      </c>
      <c r="AF11" s="10">
        <f t="shared" si="8"/>
        <v>0</v>
      </c>
      <c r="AG11" s="10">
        <f t="shared" si="8"/>
        <v>0</v>
      </c>
      <c r="AH11" s="10">
        <f t="shared" si="8"/>
        <v>0</v>
      </c>
      <c r="AI11" s="10">
        <f t="shared" si="8"/>
        <v>0</v>
      </c>
      <c r="AJ11" s="10">
        <f t="shared" si="8"/>
        <v>0</v>
      </c>
      <c r="AK11" s="10">
        <f t="shared" si="8"/>
        <v>0</v>
      </c>
      <c r="AL11" s="10">
        <f t="shared" si="8"/>
        <v>0</v>
      </c>
      <c r="AM11" s="10">
        <f t="shared" si="8"/>
        <v>0</v>
      </c>
      <c r="AN11" s="10">
        <f t="shared" si="8"/>
        <v>0</v>
      </c>
      <c r="AO11" s="10">
        <f t="shared" si="8"/>
        <v>0</v>
      </c>
      <c r="AP11" s="10">
        <f t="shared" si="8"/>
        <v>0</v>
      </c>
      <c r="AQ11" s="10">
        <f t="shared" si="8"/>
        <v>0</v>
      </c>
      <c r="AR11" s="10">
        <f t="shared" si="8"/>
        <v>0</v>
      </c>
      <c r="AS11" s="10">
        <f t="shared" si="8"/>
        <v>0</v>
      </c>
    </row>
    <row r="12" spans="1:45" s="84" customFormat="1" ht="12.75">
      <c r="A12" s="97" t="s">
        <v>7</v>
      </c>
      <c r="B12" s="110"/>
      <c r="C12" s="97">
        <f>SUM(C10:C11)</f>
        <v>137000.16</v>
      </c>
      <c r="D12" s="97"/>
      <c r="E12" s="97">
        <f>SUM(E10:E11)</f>
        <v>137000.16</v>
      </c>
      <c r="F12" s="97">
        <f>SUM(F10:F11)</f>
        <v>141110.16480000003</v>
      </c>
      <c r="G12" s="97">
        <f aca="true" t="shared" si="9" ref="G12:N12">SUM(G10:G11)</f>
        <v>145343.46974400003</v>
      </c>
      <c r="H12" s="97">
        <f t="shared" si="9"/>
        <v>149703.77383632003</v>
      </c>
      <c r="I12" s="97">
        <f t="shared" si="9"/>
        <v>154194.88705140963</v>
      </c>
      <c r="J12" s="97">
        <f t="shared" si="9"/>
        <v>158820.7336629519</v>
      </c>
      <c r="K12" s="97">
        <f t="shared" si="9"/>
        <v>163585.3556728405</v>
      </c>
      <c r="L12" s="97">
        <f t="shared" si="9"/>
        <v>168492.9163430257</v>
      </c>
      <c r="M12" s="97">
        <f t="shared" si="9"/>
        <v>173547.70383331648</v>
      </c>
      <c r="N12" s="97">
        <f t="shared" si="9"/>
        <v>178754.134948316</v>
      </c>
      <c r="O12" s="97">
        <f aca="true" t="shared" si="10" ref="O12:AS12">SUM(O10:O11)</f>
        <v>184116.75899676548</v>
      </c>
      <c r="P12" s="97">
        <f t="shared" si="10"/>
        <v>189640.26176666847</v>
      </c>
      <c r="Q12" s="97">
        <f t="shared" si="10"/>
        <v>195329.46961966853</v>
      </c>
      <c r="R12" s="97">
        <f t="shared" si="10"/>
        <v>201189.3537082586</v>
      </c>
      <c r="S12" s="97">
        <f t="shared" si="10"/>
        <v>207225.03431950635</v>
      </c>
      <c r="T12" s="97">
        <f t="shared" si="10"/>
        <v>213441.78534909154</v>
      </c>
      <c r="U12" s="97">
        <f t="shared" si="10"/>
        <v>219845.0389095643</v>
      </c>
      <c r="V12" s="97">
        <f t="shared" si="10"/>
        <v>226440.39007685124</v>
      </c>
      <c r="W12" s="97">
        <f t="shared" si="10"/>
        <v>233233.60177915677</v>
      </c>
      <c r="X12" s="97">
        <f t="shared" si="10"/>
        <v>240230.60983253148</v>
      </c>
      <c r="Y12" s="97">
        <f t="shared" si="10"/>
        <v>247437.5281275074</v>
      </c>
      <c r="Z12" s="97">
        <f t="shared" si="10"/>
        <v>254860.65397133262</v>
      </c>
      <c r="AA12" s="97">
        <f t="shared" si="10"/>
        <v>262506.4735904726</v>
      </c>
      <c r="AB12" s="97">
        <f t="shared" si="10"/>
        <v>270381.66779818677</v>
      </c>
      <c r="AC12" s="97">
        <f t="shared" si="10"/>
        <v>278493.1178321324</v>
      </c>
      <c r="AD12" s="97">
        <f t="shared" si="10"/>
        <v>286847.91136709636</v>
      </c>
      <c r="AE12" s="97">
        <f t="shared" si="10"/>
        <v>295453.34870810923</v>
      </c>
      <c r="AF12" s="97">
        <f t="shared" si="10"/>
        <v>304316.94916935253</v>
      </c>
      <c r="AG12" s="97">
        <f t="shared" si="10"/>
        <v>313446.45764443313</v>
      </c>
      <c r="AH12" s="97">
        <f t="shared" si="10"/>
        <v>322849.85137376614</v>
      </c>
      <c r="AI12" s="97">
        <f t="shared" si="10"/>
        <v>332535.34691497916</v>
      </c>
      <c r="AJ12" s="97">
        <f t="shared" si="10"/>
        <v>342511.4073224285</v>
      </c>
      <c r="AK12" s="97">
        <f t="shared" si="10"/>
        <v>352786.74954210134</v>
      </c>
      <c r="AL12" s="97">
        <f t="shared" si="10"/>
        <v>363370.3520283644</v>
      </c>
      <c r="AM12" s="97">
        <f t="shared" si="10"/>
        <v>374271.46258921537</v>
      </c>
      <c r="AN12" s="97">
        <f t="shared" si="10"/>
        <v>385499.6064668918</v>
      </c>
      <c r="AO12" s="97">
        <f t="shared" si="10"/>
        <v>397064.59466089855</v>
      </c>
      <c r="AP12" s="97">
        <f t="shared" si="10"/>
        <v>408976.5325007256</v>
      </c>
      <c r="AQ12" s="97">
        <f t="shared" si="10"/>
        <v>421245.8284757474</v>
      </c>
      <c r="AR12" s="97">
        <f t="shared" si="10"/>
        <v>433883.2033300198</v>
      </c>
      <c r="AS12" s="97">
        <f t="shared" si="10"/>
        <v>446899.6994299204</v>
      </c>
    </row>
    <row r="13" spans="1:45" ht="12.75">
      <c r="A13" s="16" t="s">
        <v>8</v>
      </c>
      <c r="C13" s="11">
        <v>0</v>
      </c>
      <c r="E13" s="10">
        <f>C13</f>
        <v>0</v>
      </c>
      <c r="F13" s="10">
        <f>E13</f>
        <v>0</v>
      </c>
      <c r="G13" s="10">
        <f aca="true" t="shared" si="11" ref="G13:N13">F13</f>
        <v>0</v>
      </c>
      <c r="H13" s="10">
        <f t="shared" si="11"/>
        <v>0</v>
      </c>
      <c r="I13" s="10">
        <f t="shared" si="11"/>
        <v>0</v>
      </c>
      <c r="J13" s="10">
        <f t="shared" si="11"/>
        <v>0</v>
      </c>
      <c r="K13" s="10">
        <f t="shared" si="11"/>
        <v>0</v>
      </c>
      <c r="L13" s="10">
        <f t="shared" si="11"/>
        <v>0</v>
      </c>
      <c r="M13" s="10">
        <f t="shared" si="11"/>
        <v>0</v>
      </c>
      <c r="N13" s="10">
        <f t="shared" si="11"/>
        <v>0</v>
      </c>
      <c r="O13" s="10">
        <f aca="true" t="shared" si="12" ref="O13:AS13">N13</f>
        <v>0</v>
      </c>
      <c r="P13" s="10">
        <f t="shared" si="12"/>
        <v>0</v>
      </c>
      <c r="Q13" s="10">
        <f t="shared" si="12"/>
        <v>0</v>
      </c>
      <c r="R13" s="10">
        <f t="shared" si="12"/>
        <v>0</v>
      </c>
      <c r="S13" s="10">
        <f t="shared" si="12"/>
        <v>0</v>
      </c>
      <c r="T13" s="10">
        <f t="shared" si="12"/>
        <v>0</v>
      </c>
      <c r="U13" s="10">
        <f t="shared" si="12"/>
        <v>0</v>
      </c>
      <c r="V13" s="10">
        <f t="shared" si="12"/>
        <v>0</v>
      </c>
      <c r="W13" s="10">
        <f t="shared" si="12"/>
        <v>0</v>
      </c>
      <c r="X13" s="10">
        <f t="shared" si="12"/>
        <v>0</v>
      </c>
      <c r="Y13" s="10">
        <f t="shared" si="12"/>
        <v>0</v>
      </c>
      <c r="Z13" s="10">
        <f t="shared" si="12"/>
        <v>0</v>
      </c>
      <c r="AA13" s="10">
        <f t="shared" si="12"/>
        <v>0</v>
      </c>
      <c r="AB13" s="10">
        <f t="shared" si="12"/>
        <v>0</v>
      </c>
      <c r="AC13" s="10">
        <f t="shared" si="12"/>
        <v>0</v>
      </c>
      <c r="AD13" s="10">
        <f t="shared" si="12"/>
        <v>0</v>
      </c>
      <c r="AE13" s="10">
        <f t="shared" si="12"/>
        <v>0</v>
      </c>
      <c r="AF13" s="10">
        <f t="shared" si="12"/>
        <v>0</v>
      </c>
      <c r="AG13" s="10">
        <f t="shared" si="12"/>
        <v>0</v>
      </c>
      <c r="AH13" s="10">
        <f t="shared" si="12"/>
        <v>0</v>
      </c>
      <c r="AI13" s="10">
        <f t="shared" si="12"/>
        <v>0</v>
      </c>
      <c r="AJ13" s="10">
        <f t="shared" si="12"/>
        <v>0</v>
      </c>
      <c r="AK13" s="10">
        <f t="shared" si="12"/>
        <v>0</v>
      </c>
      <c r="AL13" s="10">
        <f t="shared" si="12"/>
        <v>0</v>
      </c>
      <c r="AM13" s="10">
        <f t="shared" si="12"/>
        <v>0</v>
      </c>
      <c r="AN13" s="10">
        <f t="shared" si="12"/>
        <v>0</v>
      </c>
      <c r="AO13" s="10">
        <f t="shared" si="12"/>
        <v>0</v>
      </c>
      <c r="AP13" s="10">
        <f t="shared" si="12"/>
        <v>0</v>
      </c>
      <c r="AQ13" s="10">
        <f t="shared" si="12"/>
        <v>0</v>
      </c>
      <c r="AR13" s="10">
        <f t="shared" si="12"/>
        <v>0</v>
      </c>
      <c r="AS13" s="10">
        <f t="shared" si="12"/>
        <v>0</v>
      </c>
    </row>
    <row r="14" spans="1:45" s="84" customFormat="1" ht="12.75">
      <c r="A14" s="98" t="s">
        <v>9</v>
      </c>
      <c r="B14" s="107"/>
      <c r="C14" s="84">
        <f>SUM(C12:C13)</f>
        <v>137000.16</v>
      </c>
      <c r="E14" s="84">
        <f>SUM(E12:E13)</f>
        <v>137000.16</v>
      </c>
      <c r="F14" s="84">
        <f>SUM(F12:F13)</f>
        <v>141110.16480000003</v>
      </c>
      <c r="G14" s="84">
        <f aca="true" t="shared" si="13" ref="G14:N14">SUM(G12:G13)</f>
        <v>145343.46974400003</v>
      </c>
      <c r="H14" s="84">
        <f t="shared" si="13"/>
        <v>149703.77383632003</v>
      </c>
      <c r="I14" s="84">
        <f t="shared" si="13"/>
        <v>154194.88705140963</v>
      </c>
      <c r="J14" s="84">
        <f t="shared" si="13"/>
        <v>158820.7336629519</v>
      </c>
      <c r="K14" s="84">
        <f t="shared" si="13"/>
        <v>163585.3556728405</v>
      </c>
      <c r="L14" s="84">
        <f t="shared" si="13"/>
        <v>168492.9163430257</v>
      </c>
      <c r="M14" s="84">
        <f t="shared" si="13"/>
        <v>173547.70383331648</v>
      </c>
      <c r="N14" s="84">
        <f t="shared" si="13"/>
        <v>178754.134948316</v>
      </c>
      <c r="O14" s="84">
        <f aca="true" t="shared" si="14" ref="O14:AS14">SUM(O12:O13)</f>
        <v>184116.75899676548</v>
      </c>
      <c r="P14" s="84">
        <f t="shared" si="14"/>
        <v>189640.26176666847</v>
      </c>
      <c r="Q14" s="84">
        <f t="shared" si="14"/>
        <v>195329.46961966853</v>
      </c>
      <c r="R14" s="84">
        <f t="shared" si="14"/>
        <v>201189.3537082586</v>
      </c>
      <c r="S14" s="84">
        <f t="shared" si="14"/>
        <v>207225.03431950635</v>
      </c>
      <c r="T14" s="84">
        <f t="shared" si="14"/>
        <v>213441.78534909154</v>
      </c>
      <c r="U14" s="84">
        <f t="shared" si="14"/>
        <v>219845.0389095643</v>
      </c>
      <c r="V14" s="84">
        <f t="shared" si="14"/>
        <v>226440.39007685124</v>
      </c>
      <c r="W14" s="84">
        <f t="shared" si="14"/>
        <v>233233.60177915677</v>
      </c>
      <c r="X14" s="84">
        <f t="shared" si="14"/>
        <v>240230.60983253148</v>
      </c>
      <c r="Y14" s="84">
        <f t="shared" si="14"/>
        <v>247437.5281275074</v>
      </c>
      <c r="Z14" s="84">
        <f t="shared" si="14"/>
        <v>254860.65397133262</v>
      </c>
      <c r="AA14" s="84">
        <f t="shared" si="14"/>
        <v>262506.4735904726</v>
      </c>
      <c r="AB14" s="84">
        <f t="shared" si="14"/>
        <v>270381.66779818677</v>
      </c>
      <c r="AC14" s="84">
        <f t="shared" si="14"/>
        <v>278493.1178321324</v>
      </c>
      <c r="AD14" s="84">
        <f t="shared" si="14"/>
        <v>286847.91136709636</v>
      </c>
      <c r="AE14" s="84">
        <f t="shared" si="14"/>
        <v>295453.34870810923</v>
      </c>
      <c r="AF14" s="84">
        <f t="shared" si="14"/>
        <v>304316.94916935253</v>
      </c>
      <c r="AG14" s="84">
        <f t="shared" si="14"/>
        <v>313446.45764443313</v>
      </c>
      <c r="AH14" s="84">
        <f t="shared" si="14"/>
        <v>322849.85137376614</v>
      </c>
      <c r="AI14" s="84">
        <f t="shared" si="14"/>
        <v>332535.34691497916</v>
      </c>
      <c r="AJ14" s="84">
        <f t="shared" si="14"/>
        <v>342511.4073224285</v>
      </c>
      <c r="AK14" s="84">
        <f t="shared" si="14"/>
        <v>352786.74954210134</v>
      </c>
      <c r="AL14" s="84">
        <f t="shared" si="14"/>
        <v>363370.3520283644</v>
      </c>
      <c r="AM14" s="84">
        <f t="shared" si="14"/>
        <v>374271.46258921537</v>
      </c>
      <c r="AN14" s="84">
        <f t="shared" si="14"/>
        <v>385499.6064668918</v>
      </c>
      <c r="AO14" s="84">
        <f t="shared" si="14"/>
        <v>397064.59466089855</v>
      </c>
      <c r="AP14" s="84">
        <f t="shared" si="14"/>
        <v>408976.5325007256</v>
      </c>
      <c r="AQ14" s="84">
        <f t="shared" si="14"/>
        <v>421245.8284757474</v>
      </c>
      <c r="AR14" s="84">
        <f t="shared" si="14"/>
        <v>433883.2033300198</v>
      </c>
      <c r="AS14" s="84">
        <f t="shared" si="14"/>
        <v>446899.6994299204</v>
      </c>
    </row>
    <row r="15" ht="12.75">
      <c r="C15" s="10"/>
    </row>
    <row r="16" spans="1:45" s="84" customFormat="1" ht="12.75">
      <c r="A16" s="127" t="s">
        <v>10</v>
      </c>
      <c r="B16" s="111"/>
      <c r="C16" s="96">
        <f>+'Affordable proforma'!D24</f>
        <v>63672</v>
      </c>
      <c r="D16" s="58">
        <f>+assumptions!F16</f>
        <v>0.045</v>
      </c>
      <c r="E16" s="84">
        <f>C16</f>
        <v>63672</v>
      </c>
      <c r="F16" s="84">
        <f>E16*(1+$D$16)</f>
        <v>66537.23999999999</v>
      </c>
      <c r="G16" s="84">
        <f aca="true" t="shared" si="15" ref="G16:N16">F16*(1+$D16)</f>
        <v>69531.41579999999</v>
      </c>
      <c r="H16" s="84">
        <f t="shared" si="15"/>
        <v>72660.32951099999</v>
      </c>
      <c r="I16" s="84">
        <f t="shared" si="15"/>
        <v>75930.04433899498</v>
      </c>
      <c r="J16" s="84">
        <f t="shared" si="15"/>
        <v>79346.89633424974</v>
      </c>
      <c r="K16" s="84">
        <f t="shared" si="15"/>
        <v>82917.50666929097</v>
      </c>
      <c r="L16" s="84">
        <f t="shared" si="15"/>
        <v>86648.79446940907</v>
      </c>
      <c r="M16" s="84">
        <f t="shared" si="15"/>
        <v>90547.99022053248</v>
      </c>
      <c r="N16" s="84">
        <f t="shared" si="15"/>
        <v>94622.64978045643</v>
      </c>
      <c r="O16" s="84">
        <f aca="true" t="shared" si="16" ref="O16:AS16">N16*(1+$D16)</f>
        <v>98880.66902057696</v>
      </c>
      <c r="P16" s="84">
        <f t="shared" si="16"/>
        <v>103330.29912650291</v>
      </c>
      <c r="Q16" s="84">
        <f t="shared" si="16"/>
        <v>107980.16258719553</v>
      </c>
      <c r="R16" s="84">
        <f t="shared" si="16"/>
        <v>112839.26990361932</v>
      </c>
      <c r="S16" s="84">
        <f t="shared" si="16"/>
        <v>117917.03704928218</v>
      </c>
      <c r="T16" s="84">
        <f t="shared" si="16"/>
        <v>123223.30371649987</v>
      </c>
      <c r="U16" s="84">
        <f t="shared" si="16"/>
        <v>128768.35238374236</v>
      </c>
      <c r="V16" s="84">
        <f t="shared" si="16"/>
        <v>134562.92824101076</v>
      </c>
      <c r="W16" s="84">
        <f t="shared" si="16"/>
        <v>140618.26001185624</v>
      </c>
      <c r="X16" s="84">
        <f t="shared" si="16"/>
        <v>146946.08171238977</v>
      </c>
      <c r="Y16" s="84">
        <f t="shared" si="16"/>
        <v>153558.6553894473</v>
      </c>
      <c r="Z16" s="84">
        <f t="shared" si="16"/>
        <v>160468.7948819724</v>
      </c>
      <c r="AA16" s="84">
        <f t="shared" si="16"/>
        <v>167689.89065166115</v>
      </c>
      <c r="AB16" s="84">
        <f t="shared" si="16"/>
        <v>175235.9357309859</v>
      </c>
      <c r="AC16" s="84">
        <f t="shared" si="16"/>
        <v>183121.55283888025</v>
      </c>
      <c r="AD16" s="84">
        <f t="shared" si="16"/>
        <v>191362.02271662984</v>
      </c>
      <c r="AE16" s="84">
        <f t="shared" si="16"/>
        <v>199973.31373887818</v>
      </c>
      <c r="AF16" s="84">
        <f t="shared" si="16"/>
        <v>208972.11285712768</v>
      </c>
      <c r="AG16" s="84">
        <f t="shared" si="16"/>
        <v>218375.8579356984</v>
      </c>
      <c r="AH16" s="84">
        <f t="shared" si="16"/>
        <v>228202.7715428048</v>
      </c>
      <c r="AI16" s="84">
        <f t="shared" si="16"/>
        <v>238471.89626223102</v>
      </c>
      <c r="AJ16" s="84">
        <f t="shared" si="16"/>
        <v>249203.1315940314</v>
      </c>
      <c r="AK16" s="84">
        <f t="shared" si="16"/>
        <v>260417.2725157628</v>
      </c>
      <c r="AL16" s="84">
        <f t="shared" si="16"/>
        <v>272136.0497789721</v>
      </c>
      <c r="AM16" s="84">
        <f t="shared" si="16"/>
        <v>284382.17201902583</v>
      </c>
      <c r="AN16" s="84">
        <f t="shared" si="16"/>
        <v>297179.369759882</v>
      </c>
      <c r="AO16" s="84">
        <f t="shared" si="16"/>
        <v>310552.44139907666</v>
      </c>
      <c r="AP16" s="84">
        <f t="shared" si="16"/>
        <v>324527.3012620351</v>
      </c>
      <c r="AQ16" s="84">
        <f t="shared" si="16"/>
        <v>339131.02981882665</v>
      </c>
      <c r="AR16" s="84">
        <f t="shared" si="16"/>
        <v>354391.92616067384</v>
      </c>
      <c r="AS16" s="84">
        <f t="shared" si="16"/>
        <v>370339.56283790414</v>
      </c>
    </row>
    <row r="17" spans="1:45" s="103" customFormat="1" ht="12.75">
      <c r="A17" s="101" t="s">
        <v>14</v>
      </c>
      <c r="B17" s="110"/>
      <c r="C17" s="102">
        <f>SUM(C16:C16)</f>
        <v>63672</v>
      </c>
      <c r="D17" s="101"/>
      <c r="E17" s="102">
        <f aca="true" t="shared" si="17" ref="E17:AS17">SUM(E16:E16)</f>
        <v>63672</v>
      </c>
      <c r="F17" s="102">
        <f t="shared" si="17"/>
        <v>66537.23999999999</v>
      </c>
      <c r="G17" s="102">
        <f t="shared" si="17"/>
        <v>69531.41579999999</v>
      </c>
      <c r="H17" s="102">
        <f t="shared" si="17"/>
        <v>72660.32951099999</v>
      </c>
      <c r="I17" s="102">
        <f t="shared" si="17"/>
        <v>75930.04433899498</v>
      </c>
      <c r="J17" s="102">
        <f t="shared" si="17"/>
        <v>79346.89633424974</v>
      </c>
      <c r="K17" s="102">
        <f t="shared" si="17"/>
        <v>82917.50666929097</v>
      </c>
      <c r="L17" s="102">
        <f t="shared" si="17"/>
        <v>86648.79446940907</v>
      </c>
      <c r="M17" s="102">
        <f t="shared" si="17"/>
        <v>90547.99022053248</v>
      </c>
      <c r="N17" s="102">
        <f t="shared" si="17"/>
        <v>94622.64978045643</v>
      </c>
      <c r="O17" s="102">
        <f t="shared" si="17"/>
        <v>98880.66902057696</v>
      </c>
      <c r="P17" s="102">
        <f t="shared" si="17"/>
        <v>103330.29912650291</v>
      </c>
      <c r="Q17" s="102">
        <f t="shared" si="17"/>
        <v>107980.16258719553</v>
      </c>
      <c r="R17" s="102">
        <f t="shared" si="17"/>
        <v>112839.26990361932</v>
      </c>
      <c r="S17" s="102">
        <f t="shared" si="17"/>
        <v>117917.03704928218</v>
      </c>
      <c r="T17" s="102">
        <f t="shared" si="17"/>
        <v>123223.30371649987</v>
      </c>
      <c r="U17" s="102">
        <f t="shared" si="17"/>
        <v>128768.35238374236</v>
      </c>
      <c r="V17" s="102">
        <f t="shared" si="17"/>
        <v>134562.92824101076</v>
      </c>
      <c r="W17" s="102">
        <f t="shared" si="17"/>
        <v>140618.26001185624</v>
      </c>
      <c r="X17" s="102">
        <f t="shared" si="17"/>
        <v>146946.08171238977</v>
      </c>
      <c r="Y17" s="102">
        <f t="shared" si="17"/>
        <v>153558.6553894473</v>
      </c>
      <c r="Z17" s="102">
        <f t="shared" si="17"/>
        <v>160468.7948819724</v>
      </c>
      <c r="AA17" s="102">
        <f t="shared" si="17"/>
        <v>167689.89065166115</v>
      </c>
      <c r="AB17" s="102">
        <f t="shared" si="17"/>
        <v>175235.9357309859</v>
      </c>
      <c r="AC17" s="102">
        <f t="shared" si="17"/>
        <v>183121.55283888025</v>
      </c>
      <c r="AD17" s="102">
        <f t="shared" si="17"/>
        <v>191362.02271662984</v>
      </c>
      <c r="AE17" s="102">
        <f t="shared" si="17"/>
        <v>199973.31373887818</v>
      </c>
      <c r="AF17" s="102">
        <f t="shared" si="17"/>
        <v>208972.11285712768</v>
      </c>
      <c r="AG17" s="102">
        <f t="shared" si="17"/>
        <v>218375.8579356984</v>
      </c>
      <c r="AH17" s="102">
        <f t="shared" si="17"/>
        <v>228202.7715428048</v>
      </c>
      <c r="AI17" s="102">
        <f t="shared" si="17"/>
        <v>238471.89626223102</v>
      </c>
      <c r="AJ17" s="102">
        <f t="shared" si="17"/>
        <v>249203.1315940314</v>
      </c>
      <c r="AK17" s="102">
        <f t="shared" si="17"/>
        <v>260417.2725157628</v>
      </c>
      <c r="AL17" s="102">
        <f t="shared" si="17"/>
        <v>272136.0497789721</v>
      </c>
      <c r="AM17" s="102">
        <f t="shared" si="17"/>
        <v>284382.17201902583</v>
      </c>
      <c r="AN17" s="102">
        <f t="shared" si="17"/>
        <v>297179.369759882</v>
      </c>
      <c r="AO17" s="102">
        <f t="shared" si="17"/>
        <v>310552.44139907666</v>
      </c>
      <c r="AP17" s="102">
        <f t="shared" si="17"/>
        <v>324527.3012620351</v>
      </c>
      <c r="AQ17" s="102">
        <f t="shared" si="17"/>
        <v>339131.02981882665</v>
      </c>
      <c r="AR17" s="102">
        <f t="shared" si="17"/>
        <v>354391.92616067384</v>
      </c>
      <c r="AS17" s="102">
        <f t="shared" si="17"/>
        <v>370339.56283790414</v>
      </c>
    </row>
    <row r="18" spans="1:45" ht="12.75">
      <c r="A18" s="18" t="s">
        <v>15</v>
      </c>
      <c r="C18" s="19">
        <f>C17/Units</f>
        <v>2653</v>
      </c>
      <c r="E18" s="19">
        <f>E17/Units</f>
        <v>2653</v>
      </c>
      <c r="F18" s="19">
        <f>F17/Units</f>
        <v>2772.3849999999998</v>
      </c>
      <c r="G18" s="19">
        <f aca="true" t="shared" si="18" ref="G18:N18">G17/Units</f>
        <v>2897.1423249999993</v>
      </c>
      <c r="H18" s="19">
        <f t="shared" si="18"/>
        <v>3027.5137296249995</v>
      </c>
      <c r="I18" s="19">
        <f t="shared" si="18"/>
        <v>3163.7518474581243</v>
      </c>
      <c r="J18" s="19">
        <f t="shared" si="18"/>
        <v>3306.1206805937395</v>
      </c>
      <c r="K18" s="19">
        <f t="shared" si="18"/>
        <v>3454.8961112204574</v>
      </c>
      <c r="L18" s="19">
        <f t="shared" si="18"/>
        <v>3610.366436225378</v>
      </c>
      <c r="M18" s="19">
        <f t="shared" si="18"/>
        <v>3772.83292585552</v>
      </c>
      <c r="N18" s="19">
        <f t="shared" si="18"/>
        <v>3942.610407519018</v>
      </c>
      <c r="O18" s="19">
        <f aca="true" t="shared" si="19" ref="O18:AS18">O17/Units</f>
        <v>4120.027875857373</v>
      </c>
      <c r="P18" s="19">
        <f t="shared" si="19"/>
        <v>4305.429130270954</v>
      </c>
      <c r="Q18" s="19">
        <f t="shared" si="19"/>
        <v>4499.173441133147</v>
      </c>
      <c r="R18" s="19">
        <f t="shared" si="19"/>
        <v>4701.636245984138</v>
      </c>
      <c r="S18" s="19">
        <f t="shared" si="19"/>
        <v>4913.209877053424</v>
      </c>
      <c r="T18" s="19">
        <f t="shared" si="19"/>
        <v>5134.304321520828</v>
      </c>
      <c r="U18" s="19">
        <f t="shared" si="19"/>
        <v>5365.348015989265</v>
      </c>
      <c r="V18" s="19">
        <f t="shared" si="19"/>
        <v>5606.788676708781</v>
      </c>
      <c r="W18" s="19">
        <f t="shared" si="19"/>
        <v>5859.094167160677</v>
      </c>
      <c r="X18" s="19">
        <f t="shared" si="19"/>
        <v>6122.753404682907</v>
      </c>
      <c r="Y18" s="19">
        <f t="shared" si="19"/>
        <v>6398.277307893637</v>
      </c>
      <c r="Z18" s="19">
        <f t="shared" si="19"/>
        <v>6686.19978674885</v>
      </c>
      <c r="AA18" s="19">
        <f t="shared" si="19"/>
        <v>6987.078777152547</v>
      </c>
      <c r="AB18" s="19">
        <f t="shared" si="19"/>
        <v>7301.497322124412</v>
      </c>
      <c r="AC18" s="19">
        <f t="shared" si="19"/>
        <v>7630.06470162001</v>
      </c>
      <c r="AD18" s="19">
        <f t="shared" si="19"/>
        <v>7973.41761319291</v>
      </c>
      <c r="AE18" s="19">
        <f t="shared" si="19"/>
        <v>8332.221405786591</v>
      </c>
      <c r="AF18" s="19">
        <f t="shared" si="19"/>
        <v>8707.171369046986</v>
      </c>
      <c r="AG18" s="19">
        <f t="shared" si="19"/>
        <v>9098.9940806541</v>
      </c>
      <c r="AH18" s="19">
        <f t="shared" si="19"/>
        <v>9508.448814283534</v>
      </c>
      <c r="AI18" s="19">
        <f t="shared" si="19"/>
        <v>9936.329010926293</v>
      </c>
      <c r="AJ18" s="19">
        <f t="shared" si="19"/>
        <v>10383.463816417976</v>
      </c>
      <c r="AK18" s="19">
        <f t="shared" si="19"/>
        <v>10850.719688156783</v>
      </c>
      <c r="AL18" s="19">
        <f t="shared" si="19"/>
        <v>11339.002074123839</v>
      </c>
      <c r="AM18" s="19">
        <f t="shared" si="19"/>
        <v>11849.25716745941</v>
      </c>
      <c r="AN18" s="19">
        <f t="shared" si="19"/>
        <v>12382.473739995083</v>
      </c>
      <c r="AO18" s="19">
        <f t="shared" si="19"/>
        <v>12939.685058294861</v>
      </c>
      <c r="AP18" s="19">
        <f t="shared" si="19"/>
        <v>13521.970885918128</v>
      </c>
      <c r="AQ18" s="19">
        <f t="shared" si="19"/>
        <v>14130.459575784444</v>
      </c>
      <c r="AR18" s="19">
        <f t="shared" si="19"/>
        <v>14766.330256694744</v>
      </c>
      <c r="AS18" s="19">
        <f t="shared" si="19"/>
        <v>15430.815118246006</v>
      </c>
    </row>
    <row r="19" ht="12.75">
      <c r="C19" s="10"/>
    </row>
    <row r="20" spans="1:45" ht="12.75">
      <c r="A20" s="20" t="s">
        <v>16</v>
      </c>
      <c r="B20" s="112"/>
      <c r="C20" s="21">
        <f>C14-C17</f>
        <v>73328.16</v>
      </c>
      <c r="D20" s="60"/>
      <c r="E20" s="21">
        <f aca="true" t="shared" si="20" ref="E20:AS20">E14-E17</f>
        <v>73328.16</v>
      </c>
      <c r="F20" s="21">
        <f t="shared" si="20"/>
        <v>74572.92480000004</v>
      </c>
      <c r="G20" s="21">
        <f t="shared" si="20"/>
        <v>75812.05394400004</v>
      </c>
      <c r="H20" s="21">
        <f t="shared" si="20"/>
        <v>77043.44432532004</v>
      </c>
      <c r="I20" s="21">
        <f t="shared" si="20"/>
        <v>78264.84271241465</v>
      </c>
      <c r="J20" s="21">
        <f t="shared" si="20"/>
        <v>79473.83732870217</v>
      </c>
      <c r="K20" s="21">
        <f t="shared" si="20"/>
        <v>80667.84900354952</v>
      </c>
      <c r="L20" s="21">
        <f t="shared" si="20"/>
        <v>81844.12187361662</v>
      </c>
      <c r="M20" s="21">
        <f t="shared" si="20"/>
        <v>82999.713612784</v>
      </c>
      <c r="N20" s="21">
        <f t="shared" si="20"/>
        <v>84131.48516785957</v>
      </c>
      <c r="O20" s="21">
        <f t="shared" si="20"/>
        <v>85236.08997618852</v>
      </c>
      <c r="P20" s="21">
        <f t="shared" si="20"/>
        <v>86309.96264016556</v>
      </c>
      <c r="Q20" s="21">
        <f t="shared" si="20"/>
        <v>87349.30703247299</v>
      </c>
      <c r="R20" s="21">
        <f t="shared" si="20"/>
        <v>88350.08380463927</v>
      </c>
      <c r="S20" s="21">
        <f t="shared" si="20"/>
        <v>89307.99727022416</v>
      </c>
      <c r="T20" s="21">
        <f t="shared" si="20"/>
        <v>90218.48163259168</v>
      </c>
      <c r="U20" s="21">
        <f t="shared" si="20"/>
        <v>91076.68652582193</v>
      </c>
      <c r="V20" s="21">
        <f t="shared" si="20"/>
        <v>91877.46183584048</v>
      </c>
      <c r="W20" s="21">
        <f t="shared" si="20"/>
        <v>92615.34176730053</v>
      </c>
      <c r="X20" s="21">
        <f t="shared" si="20"/>
        <v>93284.52812014171</v>
      </c>
      <c r="Y20" s="21">
        <f t="shared" si="20"/>
        <v>93878.8727380601</v>
      </c>
      <c r="Z20" s="21">
        <f t="shared" si="20"/>
        <v>94391.85908936022</v>
      </c>
      <c r="AA20" s="21">
        <f t="shared" si="20"/>
        <v>94816.58293881145</v>
      </c>
      <c r="AB20" s="21">
        <f t="shared" si="20"/>
        <v>95145.73206720088</v>
      </c>
      <c r="AC20" s="21">
        <f t="shared" si="20"/>
        <v>95371.56499325213</v>
      </c>
      <c r="AD20" s="21">
        <f t="shared" si="20"/>
        <v>95485.88865046651</v>
      </c>
      <c r="AE20" s="21">
        <f t="shared" si="20"/>
        <v>95480.03496923106</v>
      </c>
      <c r="AF20" s="21">
        <f t="shared" si="20"/>
        <v>95344.83631222486</v>
      </c>
      <c r="AG20" s="21">
        <f t="shared" si="20"/>
        <v>95070.59970873472</v>
      </c>
      <c r="AH20" s="21">
        <f t="shared" si="20"/>
        <v>94647.07983096133</v>
      </c>
      <c r="AI20" s="21">
        <f t="shared" si="20"/>
        <v>94063.45065274814</v>
      </c>
      <c r="AJ20" s="21">
        <f t="shared" si="20"/>
        <v>93308.27572839707</v>
      </c>
      <c r="AK20" s="21">
        <f t="shared" si="20"/>
        <v>92369.47702633854</v>
      </c>
      <c r="AL20" s="21">
        <f t="shared" si="20"/>
        <v>91234.30224939226</v>
      </c>
      <c r="AM20" s="21">
        <f t="shared" si="20"/>
        <v>89889.29057018954</v>
      </c>
      <c r="AN20" s="21">
        <f t="shared" si="20"/>
        <v>88320.23670700984</v>
      </c>
      <c r="AO20" s="21">
        <f t="shared" si="20"/>
        <v>86512.15326182189</v>
      </c>
      <c r="AP20" s="21">
        <f t="shared" si="20"/>
        <v>84449.2312386905</v>
      </c>
      <c r="AQ20" s="21">
        <f t="shared" si="20"/>
        <v>82114.79865692073</v>
      </c>
      <c r="AR20" s="21">
        <f t="shared" si="20"/>
        <v>79491.27716934594</v>
      </c>
      <c r="AS20" s="21">
        <f t="shared" si="20"/>
        <v>76560.13659201626</v>
      </c>
    </row>
    <row r="21" spans="1:45" ht="12.75">
      <c r="A21" s="22" t="s">
        <v>17</v>
      </c>
      <c r="B21" s="108">
        <f>+assumptions!F18</f>
        <v>798</v>
      </c>
      <c r="C21" s="23">
        <f>-$B$21*Units</f>
        <v>-19152</v>
      </c>
      <c r="D21" s="60"/>
      <c r="E21" s="23">
        <f>-$B$21*Units</f>
        <v>-19152</v>
      </c>
      <c r="F21" s="23">
        <f>-$B$21*Units</f>
        <v>-19152</v>
      </c>
      <c r="G21" s="23">
        <f aca="true" t="shared" si="21" ref="G21:AS21">-$B$21*Units</f>
        <v>-19152</v>
      </c>
      <c r="H21" s="23">
        <f t="shared" si="21"/>
        <v>-19152</v>
      </c>
      <c r="I21" s="23">
        <f t="shared" si="21"/>
        <v>-19152</v>
      </c>
      <c r="J21" s="23">
        <f t="shared" si="21"/>
        <v>-19152</v>
      </c>
      <c r="K21" s="23">
        <f t="shared" si="21"/>
        <v>-19152</v>
      </c>
      <c r="L21" s="23">
        <f t="shared" si="21"/>
        <v>-19152</v>
      </c>
      <c r="M21" s="23">
        <f t="shared" si="21"/>
        <v>-19152</v>
      </c>
      <c r="N21" s="23">
        <f t="shared" si="21"/>
        <v>-19152</v>
      </c>
      <c r="O21" s="23">
        <f t="shared" si="21"/>
        <v>-19152</v>
      </c>
      <c r="P21" s="23">
        <f t="shared" si="21"/>
        <v>-19152</v>
      </c>
      <c r="Q21" s="23">
        <f t="shared" si="21"/>
        <v>-19152</v>
      </c>
      <c r="R21" s="23">
        <f t="shared" si="21"/>
        <v>-19152</v>
      </c>
      <c r="S21" s="23">
        <f t="shared" si="21"/>
        <v>-19152</v>
      </c>
      <c r="T21" s="23">
        <f t="shared" si="21"/>
        <v>-19152</v>
      </c>
      <c r="U21" s="23">
        <f t="shared" si="21"/>
        <v>-19152</v>
      </c>
      <c r="V21" s="23">
        <f t="shared" si="21"/>
        <v>-19152</v>
      </c>
      <c r="W21" s="23">
        <f t="shared" si="21"/>
        <v>-19152</v>
      </c>
      <c r="X21" s="23">
        <f t="shared" si="21"/>
        <v>-19152</v>
      </c>
      <c r="Y21" s="23">
        <f t="shared" si="21"/>
        <v>-19152</v>
      </c>
      <c r="Z21" s="23">
        <f t="shared" si="21"/>
        <v>-19152</v>
      </c>
      <c r="AA21" s="23">
        <f t="shared" si="21"/>
        <v>-19152</v>
      </c>
      <c r="AB21" s="23">
        <f t="shared" si="21"/>
        <v>-19152</v>
      </c>
      <c r="AC21" s="23">
        <f t="shared" si="21"/>
        <v>-19152</v>
      </c>
      <c r="AD21" s="23">
        <f t="shared" si="21"/>
        <v>-19152</v>
      </c>
      <c r="AE21" s="23">
        <f t="shared" si="21"/>
        <v>-19152</v>
      </c>
      <c r="AF21" s="23">
        <f t="shared" si="21"/>
        <v>-19152</v>
      </c>
      <c r="AG21" s="23">
        <f t="shared" si="21"/>
        <v>-19152</v>
      </c>
      <c r="AH21" s="23">
        <f t="shared" si="21"/>
        <v>-19152</v>
      </c>
      <c r="AI21" s="23">
        <f t="shared" si="21"/>
        <v>-19152</v>
      </c>
      <c r="AJ21" s="23">
        <f t="shared" si="21"/>
        <v>-19152</v>
      </c>
      <c r="AK21" s="23">
        <f t="shared" si="21"/>
        <v>-19152</v>
      </c>
      <c r="AL21" s="23">
        <f t="shared" si="21"/>
        <v>-19152</v>
      </c>
      <c r="AM21" s="23">
        <f t="shared" si="21"/>
        <v>-19152</v>
      </c>
      <c r="AN21" s="23">
        <f t="shared" si="21"/>
        <v>-19152</v>
      </c>
      <c r="AO21" s="23">
        <f t="shared" si="21"/>
        <v>-19152</v>
      </c>
      <c r="AP21" s="23">
        <f t="shared" si="21"/>
        <v>-19152</v>
      </c>
      <c r="AQ21" s="23">
        <f t="shared" si="21"/>
        <v>-19152</v>
      </c>
      <c r="AR21" s="23">
        <f t="shared" si="21"/>
        <v>-19152</v>
      </c>
      <c r="AS21" s="23">
        <f t="shared" si="21"/>
        <v>-19152</v>
      </c>
    </row>
    <row r="22" spans="1:45" ht="12.75">
      <c r="A22" s="20" t="s">
        <v>18</v>
      </c>
      <c r="B22" s="112"/>
      <c r="C22" s="21">
        <f>SUM(C20:C21)</f>
        <v>54176.16</v>
      </c>
      <c r="D22" s="60"/>
      <c r="E22" s="21">
        <f>SUM(E20:E21)</f>
        <v>54176.16</v>
      </c>
      <c r="F22" s="21">
        <f>SUM(F20:F21)</f>
        <v>55420.92480000004</v>
      </c>
      <c r="G22" s="21">
        <f aca="true" t="shared" si="22" ref="G22:N22">SUM(G20:G21)</f>
        <v>56660.05394400004</v>
      </c>
      <c r="H22" s="21">
        <f t="shared" si="22"/>
        <v>57891.444325320044</v>
      </c>
      <c r="I22" s="21">
        <f t="shared" si="22"/>
        <v>59112.842712414655</v>
      </c>
      <c r="J22" s="21">
        <f t="shared" si="22"/>
        <v>60321.83732870217</v>
      </c>
      <c r="K22" s="21">
        <f t="shared" si="22"/>
        <v>61515.84900354952</v>
      </c>
      <c r="L22" s="21">
        <f t="shared" si="22"/>
        <v>62692.12187361662</v>
      </c>
      <c r="M22" s="21">
        <f t="shared" si="22"/>
        <v>63847.713612784006</v>
      </c>
      <c r="N22" s="21">
        <f t="shared" si="22"/>
        <v>64979.48516785957</v>
      </c>
      <c r="O22" s="21">
        <f aca="true" t="shared" si="23" ref="O22:AS22">SUM(O20:O21)</f>
        <v>66084.08997618852</v>
      </c>
      <c r="P22" s="21">
        <f t="shared" si="23"/>
        <v>67157.96264016556</v>
      </c>
      <c r="Q22" s="21">
        <f t="shared" si="23"/>
        <v>68197.30703247299</v>
      </c>
      <c r="R22" s="21">
        <f t="shared" si="23"/>
        <v>69198.08380463927</v>
      </c>
      <c r="S22" s="21">
        <f t="shared" si="23"/>
        <v>70155.99727022416</v>
      </c>
      <c r="T22" s="21">
        <f t="shared" si="23"/>
        <v>71066.48163259168</v>
      </c>
      <c r="U22" s="21">
        <f t="shared" si="23"/>
        <v>71924.68652582193</v>
      </c>
      <c r="V22" s="21">
        <f t="shared" si="23"/>
        <v>72725.46183584048</v>
      </c>
      <c r="W22" s="21">
        <f t="shared" si="23"/>
        <v>73463.34176730053</v>
      </c>
      <c r="X22" s="21">
        <f t="shared" si="23"/>
        <v>74132.52812014171</v>
      </c>
      <c r="Y22" s="21">
        <f t="shared" si="23"/>
        <v>74726.8727380601</v>
      </c>
      <c r="Z22" s="21">
        <f t="shared" si="23"/>
        <v>75239.85908936022</v>
      </c>
      <c r="AA22" s="21">
        <f t="shared" si="23"/>
        <v>75664.58293881145</v>
      </c>
      <c r="AB22" s="21">
        <f t="shared" si="23"/>
        <v>75993.73206720088</v>
      </c>
      <c r="AC22" s="21">
        <f t="shared" si="23"/>
        <v>76219.56499325213</v>
      </c>
      <c r="AD22" s="21">
        <f t="shared" si="23"/>
        <v>76333.88865046651</v>
      </c>
      <c r="AE22" s="21">
        <f t="shared" si="23"/>
        <v>76328.03496923106</v>
      </c>
      <c r="AF22" s="21">
        <f t="shared" si="23"/>
        <v>76192.83631222486</v>
      </c>
      <c r="AG22" s="21">
        <f t="shared" si="23"/>
        <v>75918.59970873472</v>
      </c>
      <c r="AH22" s="21">
        <f t="shared" si="23"/>
        <v>75495.07983096133</v>
      </c>
      <c r="AI22" s="21">
        <f t="shared" si="23"/>
        <v>74911.45065274814</v>
      </c>
      <c r="AJ22" s="21">
        <f t="shared" si="23"/>
        <v>74156.27572839707</v>
      </c>
      <c r="AK22" s="21">
        <f t="shared" si="23"/>
        <v>73217.47702633854</v>
      </c>
      <c r="AL22" s="21">
        <f t="shared" si="23"/>
        <v>72082.30224939226</v>
      </c>
      <c r="AM22" s="21">
        <f t="shared" si="23"/>
        <v>70737.29057018954</v>
      </c>
      <c r="AN22" s="21">
        <f t="shared" si="23"/>
        <v>69168.23670700984</v>
      </c>
      <c r="AO22" s="21">
        <f t="shared" si="23"/>
        <v>67360.15326182189</v>
      </c>
      <c r="AP22" s="21">
        <f t="shared" si="23"/>
        <v>65297.231238690496</v>
      </c>
      <c r="AQ22" s="21">
        <f t="shared" si="23"/>
        <v>62962.79865692073</v>
      </c>
      <c r="AR22" s="21">
        <f t="shared" si="23"/>
        <v>60339.277169345936</v>
      </c>
      <c r="AS22" s="21">
        <f t="shared" si="23"/>
        <v>57408.136592016264</v>
      </c>
    </row>
    <row r="23" spans="1:45" ht="12.75">
      <c r="A23" s="20"/>
      <c r="B23" s="112"/>
      <c r="C23" s="21"/>
      <c r="D23" s="60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</row>
    <row r="24" spans="1:45" ht="12.75">
      <c r="A24" s="20"/>
      <c r="B24" s="112"/>
      <c r="C24" s="21"/>
      <c r="D24" s="60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</row>
    <row r="25" spans="1:64" s="25" customFormat="1" ht="12.75">
      <c r="A25" s="22" t="s">
        <v>73</v>
      </c>
      <c r="B25" s="113"/>
      <c r="C25" s="23"/>
      <c r="D25" s="61"/>
      <c r="E25" s="23">
        <f>+Depreciation!D20</f>
        <v>53959.2</v>
      </c>
      <c r="F25" s="23">
        <f>+Depreciation!E20</f>
        <v>53959.2</v>
      </c>
      <c r="G25" s="23">
        <f>+Depreciation!F20</f>
        <v>53959.2</v>
      </c>
      <c r="H25" s="23">
        <f>+Depreciation!G20</f>
        <v>53959.2</v>
      </c>
      <c r="I25" s="23">
        <f>+Depreciation!H20</f>
        <v>53959.2</v>
      </c>
      <c r="J25" s="23">
        <f>+Depreciation!I20</f>
        <v>53959.2</v>
      </c>
      <c r="K25" s="23">
        <f>+Depreciation!J20</f>
        <v>53959.2</v>
      </c>
      <c r="L25" s="23">
        <f>+Depreciation!K20</f>
        <v>53959.2</v>
      </c>
      <c r="M25" s="23">
        <f>+Depreciation!L20</f>
        <v>53959.2</v>
      </c>
      <c r="N25" s="23">
        <f>+Depreciation!M20</f>
        <v>53959.2</v>
      </c>
      <c r="O25" s="23">
        <f>+Depreciation!N20</f>
        <v>53959.2</v>
      </c>
      <c r="P25" s="23">
        <f>+Depreciation!O20</f>
        <v>53959.2</v>
      </c>
      <c r="Q25" s="23">
        <f>+Depreciation!P20</f>
        <v>53959.2</v>
      </c>
      <c r="R25" s="23">
        <f>+Depreciation!Q20</f>
        <v>53959.2</v>
      </c>
      <c r="S25" s="23">
        <f>+Depreciation!R20</f>
        <v>53959.2</v>
      </c>
      <c r="T25" s="23">
        <f>+Depreciation!S20</f>
        <v>53959.2</v>
      </c>
      <c r="U25" s="23">
        <f>+Depreciation!T20</f>
        <v>53959.2</v>
      </c>
      <c r="V25" s="23">
        <f>+Depreciation!U20</f>
        <v>53959.2</v>
      </c>
      <c r="W25" s="23">
        <f>+Depreciation!V20</f>
        <v>53959.2</v>
      </c>
      <c r="X25" s="23">
        <f>+Depreciation!W20</f>
        <v>53959.2</v>
      </c>
      <c r="Y25" s="23">
        <f>+Depreciation!X20</f>
        <v>53959.2</v>
      </c>
      <c r="Z25" s="23">
        <f>+Depreciation!Y20</f>
        <v>53959.2</v>
      </c>
      <c r="AA25" s="23">
        <f>+Depreciation!Z20</f>
        <v>53959.2</v>
      </c>
      <c r="AB25" s="23">
        <f>+Depreciation!AA20</f>
        <v>53959.2</v>
      </c>
      <c r="AC25" s="23">
        <f>+Depreciation!AB20</f>
        <v>53959.2</v>
      </c>
      <c r="AD25" s="23">
        <f>+Depreciation!AC20</f>
        <v>53959.2</v>
      </c>
      <c r="AE25" s="23">
        <f>+Depreciation!AD20</f>
        <v>53959.2</v>
      </c>
      <c r="AF25" s="23">
        <f>+Depreciation!AE20</f>
        <v>26979.6</v>
      </c>
      <c r="AG25" s="23">
        <f>+Depreciation!AF20</f>
        <v>0</v>
      </c>
      <c r="AH25" s="23">
        <f>+Depreciation!AG20</f>
        <v>0</v>
      </c>
      <c r="AI25" s="23">
        <f>+Depreciation!AH20</f>
        <v>0</v>
      </c>
      <c r="AJ25" s="23">
        <f>+Depreciation!AI20</f>
        <v>0</v>
      </c>
      <c r="AK25" s="23">
        <f>+Depreciation!AJ20</f>
        <v>0</v>
      </c>
      <c r="AL25" s="23">
        <f>+Depreciation!AK20</f>
        <v>0</v>
      </c>
      <c r="AM25" s="23">
        <f>+Depreciation!AL20</f>
        <v>0</v>
      </c>
      <c r="AN25" s="23">
        <f>+Depreciation!AM20</f>
        <v>0</v>
      </c>
      <c r="AO25" s="23">
        <f>+Depreciation!AN20</f>
        <v>0</v>
      </c>
      <c r="AP25" s="23">
        <f>+Depreciation!AO20</f>
        <v>0</v>
      </c>
      <c r="AQ25" s="23">
        <f>+Depreciation!AP20</f>
        <v>0</v>
      </c>
      <c r="AR25" s="23">
        <f>+Depreciation!AQ20</f>
        <v>0</v>
      </c>
      <c r="AS25" s="23">
        <f>+Depreciation!AR20</f>
        <v>0</v>
      </c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</row>
    <row r="26" spans="1:64" s="25" customFormat="1" ht="12.75">
      <c r="A26" s="52" t="s">
        <v>124</v>
      </c>
      <c r="B26" s="113"/>
      <c r="C26" s="23" t="s">
        <v>125</v>
      </c>
      <c r="D26" s="61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>
        <f>+X39/27.5</f>
        <v>19221.643636363635</v>
      </c>
      <c r="Y26" s="23">
        <f>+X26</f>
        <v>19221.643636363635</v>
      </c>
      <c r="Z26" s="23">
        <f aca="true" t="shared" si="24" ref="Z26:AS26">+Y26</f>
        <v>19221.643636363635</v>
      </c>
      <c r="AA26" s="23">
        <f t="shared" si="24"/>
        <v>19221.643636363635</v>
      </c>
      <c r="AB26" s="23">
        <f t="shared" si="24"/>
        <v>19221.643636363635</v>
      </c>
      <c r="AC26" s="23">
        <f t="shared" si="24"/>
        <v>19221.643636363635</v>
      </c>
      <c r="AD26" s="23">
        <f t="shared" si="24"/>
        <v>19221.643636363635</v>
      </c>
      <c r="AE26" s="23">
        <f t="shared" si="24"/>
        <v>19221.643636363635</v>
      </c>
      <c r="AF26" s="23">
        <f t="shared" si="24"/>
        <v>19221.643636363635</v>
      </c>
      <c r="AG26" s="23">
        <f t="shared" si="24"/>
        <v>19221.643636363635</v>
      </c>
      <c r="AH26" s="23">
        <f t="shared" si="24"/>
        <v>19221.643636363635</v>
      </c>
      <c r="AI26" s="23">
        <f t="shared" si="24"/>
        <v>19221.643636363635</v>
      </c>
      <c r="AJ26" s="23">
        <f t="shared" si="24"/>
        <v>19221.643636363635</v>
      </c>
      <c r="AK26" s="23">
        <f t="shared" si="24"/>
        <v>19221.643636363635</v>
      </c>
      <c r="AL26" s="23">
        <f t="shared" si="24"/>
        <v>19221.643636363635</v>
      </c>
      <c r="AM26" s="23">
        <f t="shared" si="24"/>
        <v>19221.643636363635</v>
      </c>
      <c r="AN26" s="23">
        <f t="shared" si="24"/>
        <v>19221.643636363635</v>
      </c>
      <c r="AO26" s="23">
        <f t="shared" si="24"/>
        <v>19221.643636363635</v>
      </c>
      <c r="AP26" s="23">
        <f t="shared" si="24"/>
        <v>19221.643636363635</v>
      </c>
      <c r="AQ26" s="23">
        <f t="shared" si="24"/>
        <v>19221.643636363635</v>
      </c>
      <c r="AR26" s="23">
        <f t="shared" si="24"/>
        <v>19221.643636363635</v>
      </c>
      <c r="AS26" s="23">
        <f t="shared" si="24"/>
        <v>19221.643636363635</v>
      </c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</row>
    <row r="27" spans="1:64" s="25" customFormat="1" ht="12.75">
      <c r="A27" s="22" t="s">
        <v>44</v>
      </c>
      <c r="B27" s="113"/>
      <c r="C27" s="47">
        <v>0</v>
      </c>
      <c r="D27" s="61"/>
      <c r="E27" s="23">
        <f>-Mortgage!H26</f>
        <v>-5180.836872901467</v>
      </c>
      <c r="F27" s="23">
        <f>-Mortgage!H38</f>
        <v>-5058.604739896254</v>
      </c>
      <c r="G27" s="23">
        <f>-Mortgage!H62</f>
        <v>-4812.830783818979</v>
      </c>
      <c r="H27" s="23">
        <f>-Mortgage!H74</f>
        <v>-4689.285844148303</v>
      </c>
      <c r="I27" s="23">
        <f>-Mortgage!H86</f>
        <v>-4565.300176388899</v>
      </c>
      <c r="J27" s="23">
        <f>-Mortgage!H98</f>
        <v>-4440.872208309236</v>
      </c>
      <c r="K27" s="23">
        <f>-Mortgage!H110</f>
        <v>-4316.000362069099</v>
      </c>
      <c r="L27" s="23">
        <f>-Mortgage!H122</f>
        <v>-4190.683054199561</v>
      </c>
      <c r="M27" s="23">
        <f>-Mortgage!H134</f>
        <v>-4064.9186955829027</v>
      </c>
      <c r="N27" s="23">
        <f>-Mortgage!H146</f>
        <v>-3938.705691432474</v>
      </c>
      <c r="O27" s="23">
        <f>-Mortgage!H158</f>
        <v>-3812.042441272448</v>
      </c>
      <c r="P27" s="23">
        <f>-Mortgage!H170</f>
        <v>-3684.9273389175405</v>
      </c>
      <c r="Q27" s="23">
        <f>-Mortgage!H182</f>
        <v>-3557.3587724526597</v>
      </c>
      <c r="R27" s="23">
        <f>-Mortgage!H194</f>
        <v>-3429.3351242124277</v>
      </c>
      <c r="S27" s="23">
        <f>-Mortgage!H206</f>
        <v>-3300.8547707606995</v>
      </c>
      <c r="T27" s="23">
        <f>-Mortgage!H218</f>
        <v>-3171.9160828699646</v>
      </c>
      <c r="U27" s="23">
        <f>-Mortgage!H230</f>
        <v>-3042.517425500673</v>
      </c>
      <c r="V27" s="23">
        <f>-Mortgage!H242</f>
        <v>-2912.657157780533</v>
      </c>
      <c r="W27" s="23">
        <f>-Mortgage!H254</f>
        <v>-2782.3336329836784</v>
      </c>
      <c r="X27" s="23">
        <f>-Mortgage!H266</f>
        <v>-2651.5451985097925</v>
      </c>
      <c r="Y27" s="23">
        <f>-Mortgage!H278</f>
        <v>-2520.290195863171</v>
      </c>
      <c r="Z27" s="23">
        <f>-Mortgage!H290</f>
        <v>-2388.5669606316446</v>
      </c>
      <c r="AA27" s="23">
        <f>-Mortgage!H302</f>
        <v>-2256.3738224655203</v>
      </c>
      <c r="AB27" s="23">
        <f>-Mortgage!H314</f>
        <v>-2123.7091050563886</v>
      </c>
      <c r="AC27" s="23">
        <f>-Mortgage!H326</f>
        <v>-1990.571126115849</v>
      </c>
      <c r="AD27" s="23">
        <f>-Mortgage!H338</f>
        <v>-1856.9581973541963</v>
      </c>
      <c r="AE27" s="23">
        <f>-Mortgage!H350</f>
        <v>-1722.868624458998</v>
      </c>
      <c r="AF27" s="23">
        <f>-Mortgage!H362</f>
        <v>-1588.3007070736137</v>
      </c>
      <c r="AG27" s="23">
        <f>-Mortgage!H374</f>
        <v>-1453.252738775648</v>
      </c>
      <c r="AH27" s="23">
        <f>-Mortgage!H386</f>
        <v>-1317.7230070552853</v>
      </c>
      <c r="AI27" s="23">
        <f>-Mortgage!H398</f>
        <v>-1181.7097932935956</v>
      </c>
      <c r="AJ27" s="23">
        <f>--Mortgage!H410</f>
        <v>1045.2113727407357</v>
      </c>
      <c r="AK27" s="23">
        <f>-Mortgage!H422</f>
        <v>-908.2260144940569</v>
      </c>
      <c r="AL27" s="23">
        <f>-Mortgage!H434</f>
        <v>-770.7519814761924</v>
      </c>
      <c r="AM27" s="23">
        <f>-Mortgage!H446</f>
        <v>-632.7875304130087</v>
      </c>
      <c r="AN27" s="23">
        <f>-Mortgage!H458</f>
        <v>-494.3309118114977</v>
      </c>
      <c r="AO27" s="23">
        <f>-Mortgage!H470</f>
        <v>-355.3803699376078</v>
      </c>
      <c r="AP27" s="23">
        <f>-Mortgage!H482</f>
        <v>-215.93414279394972</v>
      </c>
      <c r="AQ27" s="23">
        <f>-Mortgage!H494</f>
        <v>-75.99046209748428</v>
      </c>
      <c r="AR27" s="23">
        <f>-Mortgage!AU26</f>
        <v>0</v>
      </c>
      <c r="AS27" s="23">
        <f>-Mortgage!AV26</f>
        <v>0</v>
      </c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</row>
    <row r="28" spans="1:64" s="25" customFormat="1" ht="12.75">
      <c r="A28" s="25" t="s">
        <v>42</v>
      </c>
      <c r="B28" s="113"/>
      <c r="C28" s="47">
        <v>0</v>
      </c>
      <c r="D28" s="61"/>
      <c r="E28" s="23">
        <f>Mortgage!J70</f>
        <v>0</v>
      </c>
      <c r="F28" s="23">
        <f>Mortgage!K70</f>
        <v>0</v>
      </c>
      <c r="G28" s="23">
        <f>Mortgage!L70</f>
        <v>0</v>
      </c>
      <c r="H28" s="23">
        <v>0</v>
      </c>
      <c r="I28" s="23">
        <f>Mortgage!N70</f>
        <v>0</v>
      </c>
      <c r="J28" s="23">
        <f>Mortgage!O70</f>
        <v>0</v>
      </c>
      <c r="K28" s="23">
        <f>Mortgage!P70</f>
        <v>0</v>
      </c>
      <c r="L28" s="23">
        <f>Mortgage!Q70</f>
        <v>0</v>
      </c>
      <c r="M28" s="23">
        <f>Mortgage!R70</f>
        <v>0</v>
      </c>
      <c r="N28" s="23">
        <f>Mortgage!S70</f>
        <v>0</v>
      </c>
      <c r="O28" s="23">
        <f>Mortgage!T70</f>
        <v>0</v>
      </c>
      <c r="P28" s="23">
        <f>Mortgage!U70</f>
        <v>0</v>
      </c>
      <c r="Q28" s="23">
        <f>Mortgage!V70</f>
        <v>0</v>
      </c>
      <c r="R28" s="23">
        <f>Mortgage!W70</f>
        <v>0</v>
      </c>
      <c r="S28" s="23">
        <f>Mortgage!X70</f>
        <v>0</v>
      </c>
      <c r="T28" s="23">
        <f>Mortgage!Y70</f>
        <v>0</v>
      </c>
      <c r="U28" s="23">
        <f>Mortgage!Z70</f>
        <v>0</v>
      </c>
      <c r="V28" s="23">
        <f>Mortgage!AA70</f>
        <v>0</v>
      </c>
      <c r="W28" s="23">
        <f>Mortgage!AB70</f>
        <v>0</v>
      </c>
      <c r="X28" s="23">
        <f>Mortgage!AC70</f>
        <v>0</v>
      </c>
      <c r="Y28" s="23">
        <f>Mortgage!AD70</f>
        <v>0</v>
      </c>
      <c r="Z28" s="23">
        <f>Mortgage!AE70</f>
        <v>0</v>
      </c>
      <c r="AA28" s="23">
        <f>Mortgage!AF70</f>
        <v>0</v>
      </c>
      <c r="AB28" s="23">
        <f>Mortgage!AG70</f>
        <v>0</v>
      </c>
      <c r="AC28" s="23">
        <f>Mortgage!AH70</f>
        <v>0</v>
      </c>
      <c r="AD28" s="23">
        <f>Mortgage!AI70</f>
        <v>0</v>
      </c>
      <c r="AE28" s="23">
        <f>Mortgage!AJ70</f>
        <v>0</v>
      </c>
      <c r="AF28" s="23">
        <f>Mortgage!AK70</f>
        <v>0</v>
      </c>
      <c r="AG28" s="23">
        <f>Mortgage!AL70</f>
        <v>0</v>
      </c>
      <c r="AH28" s="23">
        <f>Mortgage!AM70</f>
        <v>0</v>
      </c>
      <c r="AI28" s="23">
        <f>Mortgage!AN70</f>
        <v>0</v>
      </c>
      <c r="AJ28" s="23">
        <f>Mortgage!AO70</f>
        <v>0</v>
      </c>
      <c r="AK28" s="23">
        <f>Mortgage!AP70</f>
        <v>0</v>
      </c>
      <c r="AL28" s="23">
        <f>Mortgage!AQ70</f>
        <v>0</v>
      </c>
      <c r="AM28" s="23">
        <f>Mortgage!AR70</f>
        <v>0</v>
      </c>
      <c r="AN28" s="23">
        <f>Mortgage!AS70</f>
        <v>0</v>
      </c>
      <c r="AO28" s="23">
        <f>Mortgage!AT70</f>
        <v>0</v>
      </c>
      <c r="AP28" s="23">
        <f>Mortgage!AU70</f>
        <v>0</v>
      </c>
      <c r="AQ28" s="23">
        <f>Mortgage!AV70</f>
        <v>0</v>
      </c>
      <c r="AR28" s="23">
        <f>Mortgage!AW70</f>
        <v>0</v>
      </c>
      <c r="AS28" s="23">
        <f>Mortgage!AX70</f>
        <v>0</v>
      </c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</row>
    <row r="29" spans="1:64" s="25" customFormat="1" ht="12.75">
      <c r="A29" s="22"/>
      <c r="B29" s="113"/>
      <c r="C29" s="47"/>
      <c r="D29" s="90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</row>
    <row r="30" spans="1:64" s="25" customFormat="1" ht="12.75">
      <c r="A30" s="48" t="s">
        <v>117</v>
      </c>
      <c r="B30" s="114"/>
      <c r="C30" s="49">
        <v>0</v>
      </c>
      <c r="D30" s="91"/>
      <c r="E30" s="49">
        <f>+E20-E25+E27-E26</f>
        <v>14188.123127098539</v>
      </c>
      <c r="F30" s="49">
        <f aca="true" t="shared" si="25" ref="F30:AS30">+F20-F25+F27-F26</f>
        <v>15555.120060103785</v>
      </c>
      <c r="G30" s="49">
        <f t="shared" si="25"/>
        <v>17040.023160181066</v>
      </c>
      <c r="H30" s="49">
        <f t="shared" si="25"/>
        <v>18394.958481171743</v>
      </c>
      <c r="I30" s="49">
        <f t="shared" si="25"/>
        <v>19740.34253602576</v>
      </c>
      <c r="J30" s="49">
        <f t="shared" si="25"/>
        <v>21073.765120392934</v>
      </c>
      <c r="K30" s="49">
        <f t="shared" si="25"/>
        <v>22392.648641480424</v>
      </c>
      <c r="L30" s="49">
        <f t="shared" si="25"/>
        <v>23694.23881941706</v>
      </c>
      <c r="M30" s="49">
        <f t="shared" si="25"/>
        <v>24975.594917201106</v>
      </c>
      <c r="N30" s="49">
        <f t="shared" si="25"/>
        <v>26233.5794764271</v>
      </c>
      <c r="O30" s="49">
        <f t="shared" si="25"/>
        <v>27464.84753491608</v>
      </c>
      <c r="P30" s="49">
        <f t="shared" si="25"/>
        <v>28665.83530124802</v>
      </c>
      <c r="Q30" s="49">
        <f t="shared" si="25"/>
        <v>29832.748260020337</v>
      </c>
      <c r="R30" s="49">
        <f t="shared" si="25"/>
        <v>30961.54868042685</v>
      </c>
      <c r="S30" s="49">
        <f t="shared" si="25"/>
        <v>32047.94249946347</v>
      </c>
      <c r="T30" s="49">
        <f t="shared" si="25"/>
        <v>33087.36554972171</v>
      </c>
      <c r="U30" s="49">
        <f t="shared" si="25"/>
        <v>34074.969100321265</v>
      </c>
      <c r="V30" s="49">
        <f t="shared" si="25"/>
        <v>35005.60467805996</v>
      </c>
      <c r="W30" s="49">
        <f t="shared" si="25"/>
        <v>35873.80813431686</v>
      </c>
      <c r="X30" s="49">
        <f t="shared" si="25"/>
        <v>17452.139285268287</v>
      </c>
      <c r="Y30" s="49">
        <f t="shared" si="25"/>
        <v>18177.738905833303</v>
      </c>
      <c r="Z30" s="49">
        <f t="shared" si="25"/>
        <v>18822.448492364947</v>
      </c>
      <c r="AA30" s="49">
        <f t="shared" si="25"/>
        <v>19379.3654799823</v>
      </c>
      <c r="AB30" s="49">
        <f t="shared" si="25"/>
        <v>19841.179325780857</v>
      </c>
      <c r="AC30" s="49">
        <f t="shared" si="25"/>
        <v>20200.15023077265</v>
      </c>
      <c r="AD30" s="49">
        <f t="shared" si="25"/>
        <v>20448.086816748688</v>
      </c>
      <c r="AE30" s="49">
        <f t="shared" si="25"/>
        <v>20576.322708408425</v>
      </c>
      <c r="AF30" s="49">
        <f t="shared" si="25"/>
        <v>47555.2919687876</v>
      </c>
      <c r="AG30" s="49">
        <f t="shared" si="25"/>
        <v>74395.70333359545</v>
      </c>
      <c r="AH30" s="49">
        <f t="shared" si="25"/>
        <v>74107.71318754241</v>
      </c>
      <c r="AI30" s="49">
        <f t="shared" si="25"/>
        <v>73660.09722309091</v>
      </c>
      <c r="AJ30" s="49">
        <f t="shared" si="25"/>
        <v>75131.84346477418</v>
      </c>
      <c r="AK30" s="49">
        <f t="shared" si="25"/>
        <v>72239.60737548086</v>
      </c>
      <c r="AL30" s="49">
        <f t="shared" si="25"/>
        <v>71241.90663155244</v>
      </c>
      <c r="AM30" s="49">
        <f t="shared" si="25"/>
        <v>70034.85940341289</v>
      </c>
      <c r="AN30" s="49">
        <f t="shared" si="25"/>
        <v>68604.26215883471</v>
      </c>
      <c r="AO30" s="49">
        <f t="shared" si="25"/>
        <v>66935.12925552065</v>
      </c>
      <c r="AP30" s="49">
        <f t="shared" si="25"/>
        <v>65011.653459532914</v>
      </c>
      <c r="AQ30" s="49">
        <f t="shared" si="25"/>
        <v>62817.16455845961</v>
      </c>
      <c r="AR30" s="49">
        <f t="shared" si="25"/>
        <v>60269.633532982305</v>
      </c>
      <c r="AS30" s="49">
        <f t="shared" si="25"/>
        <v>57338.49295565263</v>
      </c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49"/>
    </row>
    <row r="31" spans="1:64" s="25" customFormat="1" ht="12.75">
      <c r="A31" s="33"/>
      <c r="B31" s="113"/>
      <c r="C31" s="23"/>
      <c r="D31" s="92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55"/>
      <c r="BL31" s="55"/>
    </row>
    <row r="32" spans="1:64" s="25" customFormat="1" ht="12.75">
      <c r="A32" s="33" t="s">
        <v>45</v>
      </c>
      <c r="B32" s="113"/>
      <c r="C32" s="47">
        <v>0</v>
      </c>
      <c r="D32" s="61"/>
      <c r="E32" s="23">
        <f>-Mortgage!E26</f>
        <v>-34264.12312709853</v>
      </c>
      <c r="F32" s="23">
        <f>-Mortgage!E38</f>
        <v>-34386.355260103745</v>
      </c>
      <c r="G32" s="23">
        <f>-Mortgage!E50</f>
        <v>-34509.023437956326</v>
      </c>
      <c r="H32" s="23">
        <f>-Mortgage!E74</f>
        <v>-34755.674155851695</v>
      </c>
      <c r="I32" s="23">
        <f>-Mortgage!E86</f>
        <v>-34879.659823611095</v>
      </c>
      <c r="J32" s="23">
        <f>-Mortgage!E98</f>
        <v>-35004.08779169076</v>
      </c>
      <c r="K32" s="23">
        <f>-Mortgage!E110</f>
        <v>-35128.95963793091</v>
      </c>
      <c r="L32" s="23">
        <f>-Mortgage!E122</f>
        <v>-35254.27694580044</v>
      </c>
      <c r="M32" s="23">
        <f>-Mortgage!E134</f>
        <v>-35380.0413044171</v>
      </c>
      <c r="N32" s="23">
        <f>-Mortgage!E146</f>
        <v>-35506.25430856752</v>
      </c>
      <c r="O32" s="23">
        <f>-Mortgage!E158</f>
        <v>-35632.91755872755</v>
      </c>
      <c r="P32" s="23">
        <f>-Mortgage!E170</f>
        <v>-35760.03266108246</v>
      </c>
      <c r="Q32" s="23">
        <f>-Mortgage!E182</f>
        <v>-35887.60122754734</v>
      </c>
      <c r="R32" s="23">
        <f>-Mortgage!E194</f>
        <v>-36015.62487578757</v>
      </c>
      <c r="S32" s="23">
        <f>-Mortgage!E206</f>
        <v>-36144.1052292393</v>
      </c>
      <c r="T32" s="23">
        <f>-Mortgage!E218</f>
        <v>-36273.04391713003</v>
      </c>
      <c r="U32" s="23">
        <f>-Mortgage!E230</f>
        <v>-36402.44257449933</v>
      </c>
      <c r="V32" s="23">
        <f>-Mortgage!E242</f>
        <v>-36532.30284221947</v>
      </c>
      <c r="W32" s="23">
        <f>-Mortgage!E254</f>
        <v>-36662.626367016324</v>
      </c>
      <c r="X32" s="23">
        <f>-Mortgage!E266</f>
        <v>-36793.41480149021</v>
      </c>
      <c r="Y32" s="23">
        <f>-Mortgage!E278</f>
        <v>-36924.669804136836</v>
      </c>
      <c r="Z32" s="23">
        <f>-Mortgage!E290</f>
        <v>-37056.393039368355</v>
      </c>
      <c r="AA32" s="23">
        <f>-Mortgage!E302</f>
        <v>-37188.586177534475</v>
      </c>
      <c r="AB32" s="23">
        <f>-Mortgage!E314</f>
        <v>-37321.25089494361</v>
      </c>
      <c r="AC32" s="23">
        <f>-Mortgage!E326</f>
        <v>-37454.388873884156</v>
      </c>
      <c r="AD32" s="23">
        <f>-Mortgage!E338</f>
        <v>-37588.0018026458</v>
      </c>
      <c r="AE32" s="23">
        <f>-Mortgage!E350</f>
        <v>-37722.09137554099</v>
      </c>
      <c r="AF32" s="23">
        <f>-Mortgage!E362</f>
        <v>-37856.659292926386</v>
      </c>
      <c r="AG32" s="23">
        <f>-Mortgage!E374</f>
        <v>-37991.70726122435</v>
      </c>
      <c r="AH32" s="23">
        <f>-Mortgage!E386</f>
        <v>-38127.236992944716</v>
      </c>
      <c r="AI32" s="23">
        <f>-Mortgage!E398</f>
        <v>-38263.2502067064</v>
      </c>
      <c r="AJ32" s="23">
        <f>-Mortgage!E410</f>
        <v>-38399.74862725927</v>
      </c>
      <c r="AK32" s="23">
        <f>-Mortgage!E422</f>
        <v>-38536.73398550594</v>
      </c>
      <c r="AL32" s="23">
        <f>-Mortgage!E434</f>
        <v>-38674.20801852381</v>
      </c>
      <c r="AM32" s="23">
        <f>-Mortgage!E446</f>
        <v>-38812.172469586985</v>
      </c>
      <c r="AN32" s="23">
        <f>-Mortgage!E458</f>
        <v>-38950.6290881885</v>
      </c>
      <c r="AO32" s="23">
        <f>-Mortgage!E470</f>
        <v>-39089.57963006239</v>
      </c>
      <c r="AP32" s="23">
        <f>-Mortgage!E482</f>
        <v>-39229.02585720605</v>
      </c>
      <c r="AQ32" s="23">
        <f>-Mortgage!E494</f>
        <v>-39368.969537902514</v>
      </c>
      <c r="AR32" s="23">
        <f>-Mortgage!AR26</f>
        <v>0</v>
      </c>
      <c r="AS32" s="23">
        <f>-Mortgage!AS26</f>
        <v>0</v>
      </c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</row>
    <row r="33" spans="1:64" s="25" customFormat="1" ht="12.75">
      <c r="A33" s="33" t="s">
        <v>81</v>
      </c>
      <c r="B33" s="113"/>
      <c r="C33" s="47"/>
      <c r="D33" s="61"/>
      <c r="E33" s="23">
        <f>-E21</f>
        <v>19152</v>
      </c>
      <c r="F33" s="23">
        <f aca="true" t="shared" si="26" ref="F33:L33">-F21</f>
        <v>19152</v>
      </c>
      <c r="G33" s="23">
        <f t="shared" si="26"/>
        <v>19152</v>
      </c>
      <c r="H33" s="23">
        <f>-H21</f>
        <v>19152</v>
      </c>
      <c r="I33" s="23">
        <f>-I21</f>
        <v>19152</v>
      </c>
      <c r="J33" s="23">
        <f>-J21</f>
        <v>19152</v>
      </c>
      <c r="K33" s="23">
        <f>-K21</f>
        <v>19152</v>
      </c>
      <c r="L33" s="23">
        <f t="shared" si="26"/>
        <v>19152</v>
      </c>
      <c r="M33" s="23">
        <f aca="true" t="shared" si="27" ref="M33:AS33">-M21</f>
        <v>19152</v>
      </c>
      <c r="N33" s="23">
        <f t="shared" si="27"/>
        <v>19152</v>
      </c>
      <c r="O33" s="23">
        <f t="shared" si="27"/>
        <v>19152</v>
      </c>
      <c r="P33" s="23">
        <f t="shared" si="27"/>
        <v>19152</v>
      </c>
      <c r="Q33" s="23">
        <f t="shared" si="27"/>
        <v>19152</v>
      </c>
      <c r="R33" s="23">
        <f t="shared" si="27"/>
        <v>19152</v>
      </c>
      <c r="S33" s="23">
        <f t="shared" si="27"/>
        <v>19152</v>
      </c>
      <c r="T33" s="23">
        <f t="shared" si="27"/>
        <v>19152</v>
      </c>
      <c r="U33" s="23">
        <f t="shared" si="27"/>
        <v>19152</v>
      </c>
      <c r="V33" s="23">
        <f t="shared" si="27"/>
        <v>19152</v>
      </c>
      <c r="W33" s="23">
        <f t="shared" si="27"/>
        <v>19152</v>
      </c>
      <c r="X33" s="23">
        <f t="shared" si="27"/>
        <v>19152</v>
      </c>
      <c r="Y33" s="23">
        <f t="shared" si="27"/>
        <v>19152</v>
      </c>
      <c r="Z33" s="23">
        <f t="shared" si="27"/>
        <v>19152</v>
      </c>
      <c r="AA33" s="23">
        <f t="shared" si="27"/>
        <v>19152</v>
      </c>
      <c r="AB33" s="23">
        <f t="shared" si="27"/>
        <v>19152</v>
      </c>
      <c r="AC33" s="23">
        <f t="shared" si="27"/>
        <v>19152</v>
      </c>
      <c r="AD33" s="23">
        <f t="shared" si="27"/>
        <v>19152</v>
      </c>
      <c r="AE33" s="23">
        <f t="shared" si="27"/>
        <v>19152</v>
      </c>
      <c r="AF33" s="23">
        <f t="shared" si="27"/>
        <v>19152</v>
      </c>
      <c r="AG33" s="23">
        <f t="shared" si="27"/>
        <v>19152</v>
      </c>
      <c r="AH33" s="23">
        <f t="shared" si="27"/>
        <v>19152</v>
      </c>
      <c r="AI33" s="23">
        <f t="shared" si="27"/>
        <v>19152</v>
      </c>
      <c r="AJ33" s="23">
        <f t="shared" si="27"/>
        <v>19152</v>
      </c>
      <c r="AK33" s="23">
        <f t="shared" si="27"/>
        <v>19152</v>
      </c>
      <c r="AL33" s="23">
        <f t="shared" si="27"/>
        <v>19152</v>
      </c>
      <c r="AM33" s="23">
        <f t="shared" si="27"/>
        <v>19152</v>
      </c>
      <c r="AN33" s="23">
        <f t="shared" si="27"/>
        <v>19152</v>
      </c>
      <c r="AO33" s="23">
        <f t="shared" si="27"/>
        <v>19152</v>
      </c>
      <c r="AP33" s="23">
        <f t="shared" si="27"/>
        <v>19152</v>
      </c>
      <c r="AQ33" s="23">
        <f t="shared" si="27"/>
        <v>19152</v>
      </c>
      <c r="AR33" s="23">
        <f t="shared" si="27"/>
        <v>19152</v>
      </c>
      <c r="AS33" s="23">
        <f t="shared" si="27"/>
        <v>19152</v>
      </c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</row>
    <row r="34" spans="1:64" s="25" customFormat="1" ht="12.75">
      <c r="A34" s="33" t="s">
        <v>159</v>
      </c>
      <c r="B34" s="113">
        <f>+assumptions!F11*assumptions!F4*assumptions!F12</f>
        <v>73518</v>
      </c>
      <c r="C34" s="50">
        <v>0.05</v>
      </c>
      <c r="D34" s="61"/>
      <c r="E34" s="23">
        <f>-SUM(PMT(assumptions!F13,20,B34))</f>
        <v>6939.579114792673</v>
      </c>
      <c r="F34" s="23">
        <f>+E34</f>
        <v>6939.579114792673</v>
      </c>
      <c r="G34" s="23">
        <f aca="true" t="shared" si="28" ref="G34:AS34">+F34</f>
        <v>6939.579114792673</v>
      </c>
      <c r="H34" s="23">
        <f t="shared" si="28"/>
        <v>6939.579114792673</v>
      </c>
      <c r="I34" s="23">
        <f t="shared" si="28"/>
        <v>6939.579114792673</v>
      </c>
      <c r="J34" s="23">
        <f t="shared" si="28"/>
        <v>6939.579114792673</v>
      </c>
      <c r="K34" s="23">
        <f t="shared" si="28"/>
        <v>6939.579114792673</v>
      </c>
      <c r="L34" s="23">
        <f t="shared" si="28"/>
        <v>6939.579114792673</v>
      </c>
      <c r="M34" s="23">
        <f t="shared" si="28"/>
        <v>6939.579114792673</v>
      </c>
      <c r="N34" s="23">
        <f t="shared" si="28"/>
        <v>6939.579114792673</v>
      </c>
      <c r="O34" s="23">
        <f t="shared" si="28"/>
        <v>6939.579114792673</v>
      </c>
      <c r="P34" s="23">
        <f t="shared" si="28"/>
        <v>6939.579114792673</v>
      </c>
      <c r="Q34" s="23">
        <f t="shared" si="28"/>
        <v>6939.579114792673</v>
      </c>
      <c r="R34" s="23">
        <f t="shared" si="28"/>
        <v>6939.579114792673</v>
      </c>
      <c r="S34" s="23">
        <f t="shared" si="28"/>
        <v>6939.579114792673</v>
      </c>
      <c r="T34" s="23">
        <f t="shared" si="28"/>
        <v>6939.579114792673</v>
      </c>
      <c r="U34" s="23">
        <f t="shared" si="28"/>
        <v>6939.579114792673</v>
      </c>
      <c r="V34" s="23">
        <f t="shared" si="28"/>
        <v>6939.579114792673</v>
      </c>
      <c r="W34" s="23">
        <f t="shared" si="28"/>
        <v>6939.579114792673</v>
      </c>
      <c r="X34" s="23">
        <f t="shared" si="28"/>
        <v>6939.579114792673</v>
      </c>
      <c r="Y34" s="23"/>
      <c r="Z34" s="23">
        <f t="shared" si="28"/>
        <v>0</v>
      </c>
      <c r="AA34" s="23">
        <f t="shared" si="28"/>
        <v>0</v>
      </c>
      <c r="AB34" s="23">
        <f t="shared" si="28"/>
        <v>0</v>
      </c>
      <c r="AC34" s="23">
        <f t="shared" si="28"/>
        <v>0</v>
      </c>
      <c r="AD34" s="23">
        <f t="shared" si="28"/>
        <v>0</v>
      </c>
      <c r="AE34" s="23">
        <f t="shared" si="28"/>
        <v>0</v>
      </c>
      <c r="AF34" s="23">
        <f t="shared" si="28"/>
        <v>0</v>
      </c>
      <c r="AG34" s="23">
        <f t="shared" si="28"/>
        <v>0</v>
      </c>
      <c r="AH34" s="23">
        <f t="shared" si="28"/>
        <v>0</v>
      </c>
      <c r="AI34" s="23">
        <f t="shared" si="28"/>
        <v>0</v>
      </c>
      <c r="AJ34" s="23">
        <f t="shared" si="28"/>
        <v>0</v>
      </c>
      <c r="AK34" s="23">
        <f t="shared" si="28"/>
        <v>0</v>
      </c>
      <c r="AL34" s="23">
        <f t="shared" si="28"/>
        <v>0</v>
      </c>
      <c r="AM34" s="23">
        <f t="shared" si="28"/>
        <v>0</v>
      </c>
      <c r="AN34" s="23">
        <f t="shared" si="28"/>
        <v>0</v>
      </c>
      <c r="AO34" s="23">
        <f t="shared" si="28"/>
        <v>0</v>
      </c>
      <c r="AP34" s="23">
        <f t="shared" si="28"/>
        <v>0</v>
      </c>
      <c r="AQ34" s="23">
        <f t="shared" si="28"/>
        <v>0</v>
      </c>
      <c r="AR34" s="23">
        <f t="shared" si="28"/>
        <v>0</v>
      </c>
      <c r="AS34" s="23">
        <f t="shared" si="28"/>
        <v>0</v>
      </c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</row>
    <row r="35" spans="1:64" s="25" customFormat="1" ht="12.75">
      <c r="A35" s="30" t="s">
        <v>46</v>
      </c>
      <c r="B35" s="115"/>
      <c r="C35" s="32">
        <v>0</v>
      </c>
      <c r="D35" s="93"/>
      <c r="E35" s="32">
        <f>+E30+E25+E32-E33+E26-E34</f>
        <v>7791.620885207339</v>
      </c>
      <c r="F35" s="32">
        <f aca="true" t="shared" si="29" ref="F35:AS35">+F30+F25+F32-F33+F26-F34</f>
        <v>9036.385685207366</v>
      </c>
      <c r="G35" s="32">
        <f t="shared" si="29"/>
        <v>10398.620607432065</v>
      </c>
      <c r="H35" s="32">
        <f t="shared" si="29"/>
        <v>11506.905210527366</v>
      </c>
      <c r="I35" s="32">
        <f t="shared" si="29"/>
        <v>12728.303597621983</v>
      </c>
      <c r="J35" s="32">
        <f t="shared" si="29"/>
        <v>13937.298213909504</v>
      </c>
      <c r="K35" s="32">
        <f t="shared" si="29"/>
        <v>15131.309888756841</v>
      </c>
      <c r="L35" s="32">
        <f t="shared" si="29"/>
        <v>16307.582758823948</v>
      </c>
      <c r="M35" s="32">
        <f t="shared" si="29"/>
        <v>17463.174497991327</v>
      </c>
      <c r="N35" s="32">
        <f t="shared" si="29"/>
        <v>18594.946053066902</v>
      </c>
      <c r="O35" s="32">
        <f t="shared" si="29"/>
        <v>19699.55086139586</v>
      </c>
      <c r="P35" s="32">
        <f t="shared" si="29"/>
        <v>20773.423525372884</v>
      </c>
      <c r="Q35" s="32">
        <f t="shared" si="29"/>
        <v>21812.76791768032</v>
      </c>
      <c r="R35" s="32">
        <f t="shared" si="29"/>
        <v>22813.54468984661</v>
      </c>
      <c r="S35" s="32">
        <f t="shared" si="29"/>
        <v>23771.458155431486</v>
      </c>
      <c r="T35" s="32">
        <f t="shared" si="29"/>
        <v>24681.942517799005</v>
      </c>
      <c r="U35" s="32">
        <f t="shared" si="29"/>
        <v>25540.147411029262</v>
      </c>
      <c r="V35" s="32">
        <f t="shared" si="29"/>
        <v>26340.922721047813</v>
      </c>
      <c r="W35" s="32">
        <f t="shared" si="29"/>
        <v>27078.80265250786</v>
      </c>
      <c r="X35" s="32">
        <f t="shared" si="29"/>
        <v>27747.989005349045</v>
      </c>
      <c r="Y35" s="32">
        <f t="shared" si="29"/>
        <v>35281.9127380601</v>
      </c>
      <c r="Z35" s="32">
        <f t="shared" si="29"/>
        <v>35794.89908936022</v>
      </c>
      <c r="AA35" s="32">
        <f t="shared" si="29"/>
        <v>36219.62293881146</v>
      </c>
      <c r="AB35" s="32">
        <f t="shared" si="29"/>
        <v>36548.77206720089</v>
      </c>
      <c r="AC35" s="32">
        <f t="shared" si="29"/>
        <v>36774.60499325213</v>
      </c>
      <c r="AD35" s="32">
        <f t="shared" si="29"/>
        <v>36888.92865046652</v>
      </c>
      <c r="AE35" s="32">
        <f t="shared" si="29"/>
        <v>36883.074969231064</v>
      </c>
      <c r="AF35" s="32">
        <f t="shared" si="29"/>
        <v>36747.876312224835</v>
      </c>
      <c r="AG35" s="32">
        <f t="shared" si="29"/>
        <v>36473.63970873473</v>
      </c>
      <c r="AH35" s="32">
        <f t="shared" si="29"/>
        <v>36050.119830961325</v>
      </c>
      <c r="AI35" s="32">
        <f t="shared" si="29"/>
        <v>35466.49065274815</v>
      </c>
      <c r="AJ35" s="32">
        <f t="shared" si="29"/>
        <v>36801.73847387855</v>
      </c>
      <c r="AK35" s="32">
        <f t="shared" si="29"/>
        <v>33772.51702633855</v>
      </c>
      <c r="AL35" s="32">
        <f t="shared" si="29"/>
        <v>32637.342249392266</v>
      </c>
      <c r="AM35" s="32">
        <f t="shared" si="29"/>
        <v>31292.33057018954</v>
      </c>
      <c r="AN35" s="32">
        <f t="shared" si="29"/>
        <v>29723.276707009845</v>
      </c>
      <c r="AO35" s="32">
        <f t="shared" si="29"/>
        <v>27915.19326182189</v>
      </c>
      <c r="AP35" s="32">
        <f t="shared" si="29"/>
        <v>25852.2712386905</v>
      </c>
      <c r="AQ35" s="32">
        <f t="shared" si="29"/>
        <v>23517.838656920732</v>
      </c>
      <c r="AR35" s="32">
        <f t="shared" si="29"/>
        <v>60339.277169345936</v>
      </c>
      <c r="AS35" s="32">
        <f t="shared" si="29"/>
        <v>57408.136592016264</v>
      </c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</row>
    <row r="36" spans="1:64" s="25" customFormat="1" ht="12.75">
      <c r="A36" s="33" t="s">
        <v>118</v>
      </c>
      <c r="B36" s="113"/>
      <c r="C36" s="23"/>
      <c r="D36" s="61"/>
      <c r="E36" s="23">
        <f>+assumptions!F18*assumptions!F4</f>
        <v>19152</v>
      </c>
      <c r="F36" s="99">
        <f>+E36+F33</f>
        <v>38304</v>
      </c>
      <c r="G36" s="99">
        <f aca="true" t="shared" si="30" ref="G36:AS36">+F36+G33</f>
        <v>57456</v>
      </c>
      <c r="H36" s="99">
        <f t="shared" si="30"/>
        <v>76608</v>
      </c>
      <c r="I36" s="99">
        <f t="shared" si="30"/>
        <v>95760</v>
      </c>
      <c r="J36" s="99">
        <f t="shared" si="30"/>
        <v>114912</v>
      </c>
      <c r="K36" s="99">
        <f t="shared" si="30"/>
        <v>134064</v>
      </c>
      <c r="L36" s="99">
        <f t="shared" si="30"/>
        <v>153216</v>
      </c>
      <c r="M36" s="99">
        <f t="shared" si="30"/>
        <v>172368</v>
      </c>
      <c r="N36" s="99">
        <f t="shared" si="30"/>
        <v>191520</v>
      </c>
      <c r="O36" s="99">
        <f t="shared" si="30"/>
        <v>210672</v>
      </c>
      <c r="P36" s="99">
        <f t="shared" si="30"/>
        <v>229824</v>
      </c>
      <c r="Q36" s="99">
        <f t="shared" si="30"/>
        <v>248976</v>
      </c>
      <c r="R36" s="99">
        <f t="shared" si="30"/>
        <v>268128</v>
      </c>
      <c r="S36" s="99">
        <f t="shared" si="30"/>
        <v>287280</v>
      </c>
      <c r="T36" s="99">
        <f t="shared" si="30"/>
        <v>306432</v>
      </c>
      <c r="U36" s="99">
        <f t="shared" si="30"/>
        <v>325584</v>
      </c>
      <c r="V36" s="99">
        <f t="shared" si="30"/>
        <v>344736</v>
      </c>
      <c r="W36" s="99">
        <f t="shared" si="30"/>
        <v>363888</v>
      </c>
      <c r="X36" s="99">
        <f t="shared" si="30"/>
        <v>383040</v>
      </c>
      <c r="Y36" s="99">
        <f>+Y33</f>
        <v>19152</v>
      </c>
      <c r="Z36" s="99">
        <f t="shared" si="30"/>
        <v>38304</v>
      </c>
      <c r="AA36" s="99">
        <f t="shared" si="30"/>
        <v>57456</v>
      </c>
      <c r="AB36" s="99">
        <f t="shared" si="30"/>
        <v>76608</v>
      </c>
      <c r="AC36" s="99">
        <f t="shared" si="30"/>
        <v>95760</v>
      </c>
      <c r="AD36" s="99">
        <f t="shared" si="30"/>
        <v>114912</v>
      </c>
      <c r="AE36" s="99">
        <f t="shared" si="30"/>
        <v>134064</v>
      </c>
      <c r="AF36" s="99">
        <f t="shared" si="30"/>
        <v>153216</v>
      </c>
      <c r="AG36" s="99">
        <f t="shared" si="30"/>
        <v>172368</v>
      </c>
      <c r="AH36" s="99">
        <f t="shared" si="30"/>
        <v>191520</v>
      </c>
      <c r="AI36" s="99">
        <f t="shared" si="30"/>
        <v>210672</v>
      </c>
      <c r="AJ36" s="99">
        <f t="shared" si="30"/>
        <v>229824</v>
      </c>
      <c r="AK36" s="99">
        <f t="shared" si="30"/>
        <v>248976</v>
      </c>
      <c r="AL36" s="99">
        <f t="shared" si="30"/>
        <v>268128</v>
      </c>
      <c r="AM36" s="99">
        <f t="shared" si="30"/>
        <v>287280</v>
      </c>
      <c r="AN36" s="99">
        <f t="shared" si="30"/>
        <v>306432</v>
      </c>
      <c r="AO36" s="99">
        <f t="shared" si="30"/>
        <v>325584</v>
      </c>
      <c r="AP36" s="99">
        <f t="shared" si="30"/>
        <v>344736</v>
      </c>
      <c r="AQ36" s="99">
        <f t="shared" si="30"/>
        <v>363888</v>
      </c>
      <c r="AR36" s="99">
        <f t="shared" si="30"/>
        <v>383040</v>
      </c>
      <c r="AS36" s="99">
        <f t="shared" si="30"/>
        <v>402192</v>
      </c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</row>
    <row r="37" spans="1:64" s="25" customFormat="1" ht="12.75">
      <c r="A37" s="33" t="s">
        <v>121</v>
      </c>
      <c r="B37" s="113"/>
      <c r="C37" s="23"/>
      <c r="D37" s="61">
        <v>0.04</v>
      </c>
      <c r="E37" s="23">
        <v>0</v>
      </c>
      <c r="F37" s="99">
        <f>+E36*$D$37</f>
        <v>766.08</v>
      </c>
      <c r="G37" s="99">
        <f aca="true" t="shared" si="31" ref="G37:AS37">+F36*$D$37</f>
        <v>1532.16</v>
      </c>
      <c r="H37" s="99">
        <f t="shared" si="31"/>
        <v>2298.2400000000002</v>
      </c>
      <c r="I37" s="99">
        <f t="shared" si="31"/>
        <v>3064.32</v>
      </c>
      <c r="J37" s="99">
        <f t="shared" si="31"/>
        <v>3830.4</v>
      </c>
      <c r="K37" s="99">
        <f t="shared" si="31"/>
        <v>4596.4800000000005</v>
      </c>
      <c r="L37" s="99">
        <f t="shared" si="31"/>
        <v>5362.56</v>
      </c>
      <c r="M37" s="99">
        <f t="shared" si="31"/>
        <v>6128.64</v>
      </c>
      <c r="N37" s="99">
        <f t="shared" si="31"/>
        <v>6894.72</v>
      </c>
      <c r="O37" s="99">
        <f t="shared" si="31"/>
        <v>7660.8</v>
      </c>
      <c r="P37" s="99">
        <f t="shared" si="31"/>
        <v>8426.880000000001</v>
      </c>
      <c r="Q37" s="99">
        <f t="shared" si="31"/>
        <v>9192.960000000001</v>
      </c>
      <c r="R37" s="99">
        <f t="shared" si="31"/>
        <v>9959.04</v>
      </c>
      <c r="S37" s="99">
        <f t="shared" si="31"/>
        <v>10725.12</v>
      </c>
      <c r="T37" s="99">
        <f t="shared" si="31"/>
        <v>11491.2</v>
      </c>
      <c r="U37" s="99">
        <f t="shared" si="31"/>
        <v>12257.28</v>
      </c>
      <c r="V37" s="99">
        <f t="shared" si="31"/>
        <v>13023.36</v>
      </c>
      <c r="W37" s="99">
        <f t="shared" si="31"/>
        <v>13789.44</v>
      </c>
      <c r="X37" s="99">
        <f t="shared" si="31"/>
        <v>14555.52</v>
      </c>
      <c r="Y37" s="99">
        <f t="shared" si="31"/>
        <v>15321.6</v>
      </c>
      <c r="Z37" s="99">
        <f t="shared" si="31"/>
        <v>766.08</v>
      </c>
      <c r="AA37" s="99">
        <f t="shared" si="31"/>
        <v>1532.16</v>
      </c>
      <c r="AB37" s="99">
        <f t="shared" si="31"/>
        <v>2298.2400000000002</v>
      </c>
      <c r="AC37" s="99">
        <f t="shared" si="31"/>
        <v>3064.32</v>
      </c>
      <c r="AD37" s="99">
        <f t="shared" si="31"/>
        <v>3830.4</v>
      </c>
      <c r="AE37" s="99">
        <f t="shared" si="31"/>
        <v>4596.4800000000005</v>
      </c>
      <c r="AF37" s="99">
        <f t="shared" si="31"/>
        <v>5362.56</v>
      </c>
      <c r="AG37" s="99">
        <f t="shared" si="31"/>
        <v>6128.64</v>
      </c>
      <c r="AH37" s="99">
        <f t="shared" si="31"/>
        <v>6894.72</v>
      </c>
      <c r="AI37" s="99">
        <f t="shared" si="31"/>
        <v>7660.8</v>
      </c>
      <c r="AJ37" s="99">
        <f t="shared" si="31"/>
        <v>8426.880000000001</v>
      </c>
      <c r="AK37" s="99">
        <f t="shared" si="31"/>
        <v>9192.960000000001</v>
      </c>
      <c r="AL37" s="99">
        <f t="shared" si="31"/>
        <v>9959.04</v>
      </c>
      <c r="AM37" s="99">
        <f t="shared" si="31"/>
        <v>10725.12</v>
      </c>
      <c r="AN37" s="99">
        <f t="shared" si="31"/>
        <v>11491.2</v>
      </c>
      <c r="AO37" s="99">
        <f t="shared" si="31"/>
        <v>12257.28</v>
      </c>
      <c r="AP37" s="99">
        <f t="shared" si="31"/>
        <v>13023.36</v>
      </c>
      <c r="AQ37" s="99">
        <f t="shared" si="31"/>
        <v>13789.44</v>
      </c>
      <c r="AR37" s="99">
        <f t="shared" si="31"/>
        <v>14555.52</v>
      </c>
      <c r="AS37" s="99">
        <f t="shared" si="31"/>
        <v>15321.6</v>
      </c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</row>
    <row r="38" spans="1:64" s="25" customFormat="1" ht="12.75">
      <c r="A38" s="33" t="s">
        <v>122</v>
      </c>
      <c r="B38" s="113"/>
      <c r="C38" s="23"/>
      <c r="D38" s="61"/>
      <c r="E38" s="23"/>
      <c r="F38" s="99">
        <f>+F37</f>
        <v>766.08</v>
      </c>
      <c r="G38" s="99">
        <f>+F38+G37</f>
        <v>2298.2400000000002</v>
      </c>
      <c r="H38" s="99">
        <f aca="true" t="shared" si="32" ref="H38:X38">+G38+H37</f>
        <v>4596.4800000000005</v>
      </c>
      <c r="I38" s="99">
        <f t="shared" si="32"/>
        <v>7660.800000000001</v>
      </c>
      <c r="J38" s="99">
        <f t="shared" si="32"/>
        <v>11491.2</v>
      </c>
      <c r="K38" s="99">
        <f t="shared" si="32"/>
        <v>16087.68</v>
      </c>
      <c r="L38" s="99">
        <f t="shared" si="32"/>
        <v>21450.24</v>
      </c>
      <c r="M38" s="99">
        <f t="shared" si="32"/>
        <v>27578.88</v>
      </c>
      <c r="N38" s="99">
        <f t="shared" si="32"/>
        <v>34473.6</v>
      </c>
      <c r="O38" s="99">
        <f t="shared" si="32"/>
        <v>42134.4</v>
      </c>
      <c r="P38" s="99">
        <f t="shared" si="32"/>
        <v>50561.28</v>
      </c>
      <c r="Q38" s="99">
        <f t="shared" si="32"/>
        <v>59754.24</v>
      </c>
      <c r="R38" s="99">
        <f t="shared" si="32"/>
        <v>69713.28</v>
      </c>
      <c r="S38" s="99">
        <f t="shared" si="32"/>
        <v>80438.4</v>
      </c>
      <c r="T38" s="99">
        <f t="shared" si="32"/>
        <v>91929.59999999999</v>
      </c>
      <c r="U38" s="99">
        <f t="shared" si="32"/>
        <v>104186.87999999999</v>
      </c>
      <c r="V38" s="99">
        <f t="shared" si="32"/>
        <v>117210.23999999999</v>
      </c>
      <c r="W38" s="99">
        <f t="shared" si="32"/>
        <v>130999.68</v>
      </c>
      <c r="X38" s="99">
        <f t="shared" si="32"/>
        <v>145555.19999999998</v>
      </c>
      <c r="Y38" s="99">
        <f aca="true" t="shared" si="33" ref="Y38:AS38">+X38+Y37</f>
        <v>160876.8</v>
      </c>
      <c r="Z38" s="99">
        <f t="shared" si="33"/>
        <v>161642.87999999998</v>
      </c>
      <c r="AA38" s="99">
        <f t="shared" si="33"/>
        <v>163175.03999999998</v>
      </c>
      <c r="AB38" s="99">
        <f t="shared" si="33"/>
        <v>165473.27999999997</v>
      </c>
      <c r="AC38" s="99">
        <f t="shared" si="33"/>
        <v>168537.59999999998</v>
      </c>
      <c r="AD38" s="99">
        <f t="shared" si="33"/>
        <v>172367.99999999997</v>
      </c>
      <c r="AE38" s="99">
        <f t="shared" si="33"/>
        <v>176964.47999999998</v>
      </c>
      <c r="AF38" s="99">
        <f t="shared" si="33"/>
        <v>182327.03999999998</v>
      </c>
      <c r="AG38" s="99">
        <f t="shared" si="33"/>
        <v>188455.68</v>
      </c>
      <c r="AH38" s="99">
        <f t="shared" si="33"/>
        <v>195350.4</v>
      </c>
      <c r="AI38" s="99">
        <f t="shared" si="33"/>
        <v>203011.19999999998</v>
      </c>
      <c r="AJ38" s="99">
        <f t="shared" si="33"/>
        <v>211438.08</v>
      </c>
      <c r="AK38" s="99">
        <f t="shared" si="33"/>
        <v>220631.03999999998</v>
      </c>
      <c r="AL38" s="99">
        <f t="shared" si="33"/>
        <v>230590.08</v>
      </c>
      <c r="AM38" s="99">
        <f t="shared" si="33"/>
        <v>241315.19999999998</v>
      </c>
      <c r="AN38" s="99">
        <f t="shared" si="33"/>
        <v>252806.4</v>
      </c>
      <c r="AO38" s="99">
        <f t="shared" si="33"/>
        <v>265063.68</v>
      </c>
      <c r="AP38" s="99">
        <f t="shared" si="33"/>
        <v>278087.04</v>
      </c>
      <c r="AQ38" s="99">
        <f t="shared" si="33"/>
        <v>291876.48</v>
      </c>
      <c r="AR38" s="99">
        <f t="shared" si="33"/>
        <v>306432</v>
      </c>
      <c r="AS38" s="99">
        <f t="shared" si="33"/>
        <v>321753.6</v>
      </c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</row>
    <row r="39" spans="1:64" s="25" customFormat="1" ht="12.75">
      <c r="A39" s="33" t="s">
        <v>123</v>
      </c>
      <c r="B39" s="113">
        <f>+X39</f>
        <v>528595.2</v>
      </c>
      <c r="C39" s="23"/>
      <c r="D39" s="61"/>
      <c r="E39" s="23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>
        <f>+X36+X38</f>
        <v>528595.2</v>
      </c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99"/>
      <c r="AJ39" s="99"/>
      <c r="AK39" s="99"/>
      <c r="AL39" s="99"/>
      <c r="AM39" s="99"/>
      <c r="AN39" s="99"/>
      <c r="AO39" s="99"/>
      <c r="AP39" s="99"/>
      <c r="AQ39" s="99"/>
      <c r="AR39" s="99"/>
      <c r="AS39" s="99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</row>
    <row r="40" spans="1:64" s="25" customFormat="1" ht="12.75">
      <c r="A40" s="33"/>
      <c r="B40" s="113"/>
      <c r="C40" s="23"/>
      <c r="D40" s="61"/>
      <c r="E40" s="23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9"/>
      <c r="AB40" s="99"/>
      <c r="AC40" s="99"/>
      <c r="AD40" s="99"/>
      <c r="AE40" s="99"/>
      <c r="AF40" s="99"/>
      <c r="AG40" s="99"/>
      <c r="AH40" s="99"/>
      <c r="AI40" s="99"/>
      <c r="AJ40" s="99"/>
      <c r="AK40" s="99"/>
      <c r="AL40" s="99"/>
      <c r="AM40" s="99"/>
      <c r="AN40" s="99"/>
      <c r="AO40" s="99"/>
      <c r="AP40" s="99"/>
      <c r="AQ40" s="99"/>
      <c r="AR40" s="99"/>
      <c r="AS40" s="99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</row>
    <row r="41" spans="1:64" s="25" customFormat="1" ht="12.75">
      <c r="A41" s="33"/>
      <c r="B41" s="113"/>
      <c r="C41" s="23"/>
      <c r="D41" s="61"/>
      <c r="E41" s="23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  <c r="AA41" s="99"/>
      <c r="AB41" s="99"/>
      <c r="AC41" s="99"/>
      <c r="AD41" s="99"/>
      <c r="AE41" s="99"/>
      <c r="AF41" s="99"/>
      <c r="AG41" s="99"/>
      <c r="AH41" s="99"/>
      <c r="AI41" s="99"/>
      <c r="AJ41" s="99"/>
      <c r="AK41" s="99"/>
      <c r="AL41" s="99"/>
      <c r="AM41" s="99"/>
      <c r="AN41" s="99"/>
      <c r="AO41" s="99"/>
      <c r="AP41" s="99"/>
      <c r="AQ41" s="99"/>
      <c r="AR41" s="99"/>
      <c r="AS41" s="99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</row>
    <row r="42" spans="1:64" s="25" customFormat="1" ht="12.75">
      <c r="A42" s="33"/>
      <c r="B42" s="113"/>
      <c r="C42" s="23"/>
      <c r="D42" s="61"/>
      <c r="E42" s="23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  <c r="AA42" s="99"/>
      <c r="AB42" s="99"/>
      <c r="AC42" s="99"/>
      <c r="AD42" s="99"/>
      <c r="AE42" s="99"/>
      <c r="AF42" s="99"/>
      <c r="AG42" s="99"/>
      <c r="AH42" s="99"/>
      <c r="AI42" s="99"/>
      <c r="AJ42" s="99"/>
      <c r="AK42" s="99"/>
      <c r="AL42" s="99"/>
      <c r="AM42" s="99"/>
      <c r="AN42" s="99"/>
      <c r="AO42" s="99"/>
      <c r="AP42" s="99"/>
      <c r="AQ42" s="99"/>
      <c r="AR42" s="99"/>
      <c r="AS42" s="99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</row>
    <row r="43" spans="1:64" s="100" customFormat="1" ht="12.75">
      <c r="A43" s="104" t="s">
        <v>119</v>
      </c>
      <c r="B43" s="113"/>
      <c r="C43" s="105">
        <v>0.396</v>
      </c>
      <c r="D43" s="105"/>
      <c r="E43" s="105">
        <f>+E30*$C$43</f>
        <v>5618.496758331022</v>
      </c>
      <c r="F43" s="105">
        <f aca="true" t="shared" si="34" ref="F43:AS43">+F30*$C$43</f>
        <v>6159.8275438011</v>
      </c>
      <c r="G43" s="105">
        <f t="shared" si="34"/>
        <v>6747.849171431702</v>
      </c>
      <c r="H43" s="105">
        <f t="shared" si="34"/>
        <v>7284.403558544011</v>
      </c>
      <c r="I43" s="105">
        <f t="shared" si="34"/>
        <v>7817.175644266202</v>
      </c>
      <c r="J43" s="105">
        <f t="shared" si="34"/>
        <v>8345.210987675602</v>
      </c>
      <c r="K43" s="105">
        <f t="shared" si="34"/>
        <v>8867.488862026248</v>
      </c>
      <c r="L43" s="105">
        <f t="shared" si="34"/>
        <v>9382.918572489156</v>
      </c>
      <c r="M43" s="105">
        <f t="shared" si="34"/>
        <v>9890.335587211639</v>
      </c>
      <c r="N43" s="105">
        <f t="shared" si="34"/>
        <v>10388.497472665133</v>
      </c>
      <c r="O43" s="105">
        <f t="shared" si="34"/>
        <v>10876.079623826769</v>
      </c>
      <c r="P43" s="105">
        <f t="shared" si="34"/>
        <v>11351.670779294216</v>
      </c>
      <c r="Q43" s="105">
        <f t="shared" si="34"/>
        <v>11813.768310968055</v>
      </c>
      <c r="R43" s="105">
        <f t="shared" si="34"/>
        <v>12260.773277449034</v>
      </c>
      <c r="S43" s="105">
        <f t="shared" si="34"/>
        <v>12690.985229787533</v>
      </c>
      <c r="T43" s="105">
        <f t="shared" si="34"/>
        <v>13102.596757689798</v>
      </c>
      <c r="U43" s="105">
        <f t="shared" si="34"/>
        <v>13493.687763727221</v>
      </c>
      <c r="V43" s="105">
        <f t="shared" si="34"/>
        <v>13862.219452511743</v>
      </c>
      <c r="W43" s="105">
        <f t="shared" si="34"/>
        <v>14206.028021189477</v>
      </c>
      <c r="X43" s="105">
        <f t="shared" si="34"/>
        <v>6911.047156966242</v>
      </c>
      <c r="Y43" s="105">
        <f t="shared" si="34"/>
        <v>7198.3846067099885</v>
      </c>
      <c r="Z43" s="105">
        <f t="shared" si="34"/>
        <v>7453.689602976519</v>
      </c>
      <c r="AA43" s="105">
        <f t="shared" si="34"/>
        <v>7674.228730072992</v>
      </c>
      <c r="AB43" s="105">
        <f t="shared" si="34"/>
        <v>7857.107013009219</v>
      </c>
      <c r="AC43" s="105">
        <f t="shared" si="34"/>
        <v>7999.25949138597</v>
      </c>
      <c r="AD43" s="105">
        <f t="shared" si="34"/>
        <v>8097.442379432481</v>
      </c>
      <c r="AE43" s="105">
        <f t="shared" si="34"/>
        <v>8148.223792529737</v>
      </c>
      <c r="AF43" s="105">
        <f t="shared" si="34"/>
        <v>18831.89561963989</v>
      </c>
      <c r="AG43" s="105">
        <f t="shared" si="34"/>
        <v>29460.698520103797</v>
      </c>
      <c r="AH43" s="105">
        <f t="shared" si="34"/>
        <v>29346.654422266794</v>
      </c>
      <c r="AI43" s="105">
        <f t="shared" si="34"/>
        <v>29169.398500344003</v>
      </c>
      <c r="AJ43" s="105">
        <f t="shared" si="34"/>
        <v>29752.21001205058</v>
      </c>
      <c r="AK43" s="105">
        <f t="shared" si="34"/>
        <v>28606.884520690423</v>
      </c>
      <c r="AL43" s="105">
        <f t="shared" si="34"/>
        <v>28211.79502609477</v>
      </c>
      <c r="AM43" s="105">
        <f t="shared" si="34"/>
        <v>27733.804323751505</v>
      </c>
      <c r="AN43" s="105">
        <f t="shared" si="34"/>
        <v>27167.287814898547</v>
      </c>
      <c r="AO43" s="105">
        <f t="shared" si="34"/>
        <v>26506.311185186176</v>
      </c>
      <c r="AP43" s="105">
        <f t="shared" si="34"/>
        <v>25744.614769975036</v>
      </c>
      <c r="AQ43" s="105">
        <f t="shared" si="34"/>
        <v>24875.597165150008</v>
      </c>
      <c r="AR43" s="105">
        <f t="shared" si="34"/>
        <v>23866.774879060995</v>
      </c>
      <c r="AS43" s="105">
        <f t="shared" si="34"/>
        <v>22706.043210438445</v>
      </c>
      <c r="AT43" s="105"/>
      <c r="AU43" s="105"/>
      <c r="AV43" s="105"/>
      <c r="AW43" s="105"/>
      <c r="AX43" s="105"/>
      <c r="AY43" s="105"/>
      <c r="AZ43" s="105"/>
      <c r="BA43" s="105"/>
      <c r="BB43" s="105"/>
      <c r="BC43" s="105"/>
      <c r="BD43" s="105"/>
      <c r="BE43" s="105"/>
      <c r="BF43" s="105"/>
      <c r="BG43" s="105"/>
      <c r="BH43" s="105"/>
      <c r="BI43" s="105"/>
      <c r="BJ43" s="105"/>
      <c r="BK43" s="105"/>
      <c r="BL43" s="105"/>
    </row>
    <row r="44" spans="1:64" s="25" customFormat="1" ht="12.75">
      <c r="A44" s="33"/>
      <c r="B44" s="113"/>
      <c r="C44" s="23"/>
      <c r="D44" s="61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</row>
    <row r="45" spans="1:64" s="123" customFormat="1" ht="12.75">
      <c r="A45" s="121" t="s">
        <v>120</v>
      </c>
      <c r="B45" s="122"/>
      <c r="C45" s="121"/>
      <c r="D45" s="121"/>
      <c r="E45" s="121">
        <f aca="true" t="shared" si="35" ref="E45:AS45">+E35-E43</f>
        <v>2173.124126876317</v>
      </c>
      <c r="F45" s="121">
        <f t="shared" si="35"/>
        <v>2876.5581414062663</v>
      </c>
      <c r="G45" s="121">
        <f t="shared" si="35"/>
        <v>3650.771436000363</v>
      </c>
      <c r="H45" s="121">
        <f t="shared" si="35"/>
        <v>4222.501651983355</v>
      </c>
      <c r="I45" s="121">
        <f t="shared" si="35"/>
        <v>4911.127953355782</v>
      </c>
      <c r="J45" s="121">
        <f t="shared" si="35"/>
        <v>5592.087226233902</v>
      </c>
      <c r="K45" s="121">
        <f t="shared" si="35"/>
        <v>6263.821026730593</v>
      </c>
      <c r="L45" s="121">
        <f t="shared" si="35"/>
        <v>6924.664186334792</v>
      </c>
      <c r="M45" s="121">
        <f t="shared" si="35"/>
        <v>7572.838910779688</v>
      </c>
      <c r="N45" s="121">
        <f t="shared" si="35"/>
        <v>8206.44858040177</v>
      </c>
      <c r="O45" s="121">
        <f t="shared" si="35"/>
        <v>8823.47123756909</v>
      </c>
      <c r="P45" s="121">
        <f t="shared" si="35"/>
        <v>9421.752746078668</v>
      </c>
      <c r="Q45" s="121">
        <f t="shared" si="35"/>
        <v>9998.999606712267</v>
      </c>
      <c r="R45" s="121">
        <f t="shared" si="35"/>
        <v>10552.771412397577</v>
      </c>
      <c r="S45" s="121">
        <f t="shared" si="35"/>
        <v>11080.472925643953</v>
      </c>
      <c r="T45" s="121">
        <f t="shared" si="35"/>
        <v>11579.345760109207</v>
      </c>
      <c r="U45" s="121">
        <f t="shared" si="35"/>
        <v>12046.459647302041</v>
      </c>
      <c r="V45" s="121">
        <f t="shared" si="35"/>
        <v>12478.70326853607</v>
      </c>
      <c r="W45" s="121">
        <f t="shared" si="35"/>
        <v>12872.774631318383</v>
      </c>
      <c r="X45" s="121">
        <f t="shared" si="35"/>
        <v>20836.941848382805</v>
      </c>
      <c r="Y45" s="121">
        <f t="shared" si="35"/>
        <v>28083.52813135011</v>
      </c>
      <c r="Z45" s="121">
        <f t="shared" si="35"/>
        <v>28341.209486383697</v>
      </c>
      <c r="AA45" s="121">
        <f t="shared" si="35"/>
        <v>28545.394208738468</v>
      </c>
      <c r="AB45" s="121">
        <f t="shared" si="35"/>
        <v>28691.665054191668</v>
      </c>
      <c r="AC45" s="121">
        <f t="shared" si="35"/>
        <v>28775.345501866155</v>
      </c>
      <c r="AD45" s="121">
        <f t="shared" si="35"/>
        <v>28791.48627103404</v>
      </c>
      <c r="AE45" s="121">
        <f t="shared" si="35"/>
        <v>28734.851176701326</v>
      </c>
      <c r="AF45" s="121">
        <f t="shared" si="35"/>
        <v>17915.980692584944</v>
      </c>
      <c r="AG45" s="121">
        <f t="shared" si="35"/>
        <v>7012.941188630932</v>
      </c>
      <c r="AH45" s="121">
        <f t="shared" si="35"/>
        <v>6703.46540869453</v>
      </c>
      <c r="AI45" s="121">
        <f t="shared" si="35"/>
        <v>6297.092152404148</v>
      </c>
      <c r="AJ45" s="121">
        <f t="shared" si="35"/>
        <v>7049.528461827969</v>
      </c>
      <c r="AK45" s="121">
        <f t="shared" si="35"/>
        <v>5165.632505648129</v>
      </c>
      <c r="AL45" s="121">
        <f t="shared" si="35"/>
        <v>4425.547223297497</v>
      </c>
      <c r="AM45" s="121">
        <f t="shared" si="35"/>
        <v>3558.5262464380357</v>
      </c>
      <c r="AN45" s="121">
        <f t="shared" si="35"/>
        <v>2555.988892111298</v>
      </c>
      <c r="AO45" s="121">
        <f t="shared" si="35"/>
        <v>1408.882076635713</v>
      </c>
      <c r="AP45" s="121">
        <f t="shared" si="35"/>
        <v>107.65646871546414</v>
      </c>
      <c r="AQ45" s="121">
        <f t="shared" si="35"/>
        <v>-1357.7585082292753</v>
      </c>
      <c r="AR45" s="121">
        <f t="shared" si="35"/>
        <v>36472.502290284945</v>
      </c>
      <c r="AS45" s="121">
        <f t="shared" si="35"/>
        <v>34702.09338157782</v>
      </c>
      <c r="AT45" s="121"/>
      <c r="AU45" s="121"/>
      <c r="AV45" s="121"/>
      <c r="AW45" s="121"/>
      <c r="AX45" s="121"/>
      <c r="AY45" s="121"/>
      <c r="AZ45" s="121"/>
      <c r="BA45" s="121"/>
      <c r="BB45" s="121"/>
      <c r="BC45" s="121"/>
      <c r="BD45" s="121"/>
      <c r="BE45" s="121"/>
      <c r="BF45" s="121"/>
      <c r="BG45" s="121"/>
      <c r="BH45" s="121"/>
      <c r="BI45" s="121"/>
      <c r="BJ45" s="121"/>
      <c r="BK45" s="121"/>
      <c r="BL45" s="121"/>
    </row>
    <row r="46" spans="1:64" s="25" customFormat="1" ht="12.75">
      <c r="A46" s="33"/>
      <c r="B46" s="113"/>
      <c r="C46" s="23"/>
      <c r="D46" s="61"/>
      <c r="E46" s="23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  <c r="AA46" s="99"/>
      <c r="AB46" s="99"/>
      <c r="AC46" s="99"/>
      <c r="AD46" s="99"/>
      <c r="AE46" s="99"/>
      <c r="AF46" s="99"/>
      <c r="AG46" s="99"/>
      <c r="AH46" s="99"/>
      <c r="AI46" s="99"/>
      <c r="AJ46" s="99"/>
      <c r="AK46" s="99"/>
      <c r="AL46" s="99"/>
      <c r="AM46" s="99"/>
      <c r="AN46" s="99"/>
      <c r="AO46" s="99"/>
      <c r="AP46" s="99"/>
      <c r="AQ46" s="99"/>
      <c r="AR46" s="99"/>
      <c r="AS46" s="99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</row>
    <row r="47" spans="1:11" s="25" customFormat="1" ht="12.75">
      <c r="A47" s="22"/>
      <c r="B47" s="113"/>
      <c r="C47" s="23"/>
      <c r="D47" s="61"/>
      <c r="E47" s="22"/>
      <c r="G47" s="22"/>
      <c r="I47" s="22"/>
      <c r="K47" s="22"/>
    </row>
    <row r="48" spans="1:4" s="25" customFormat="1" ht="12.75">
      <c r="A48" s="33"/>
      <c r="B48" s="113"/>
      <c r="C48" s="53"/>
      <c r="D48" s="61"/>
    </row>
    <row r="49" spans="1:5" s="25" customFormat="1" ht="12.75">
      <c r="A49" s="33"/>
      <c r="B49" s="113"/>
      <c r="C49" s="23"/>
      <c r="D49" s="27"/>
      <c r="E49" s="59"/>
    </row>
    <row r="50" spans="1:5" s="25" customFormat="1" ht="12.75">
      <c r="A50" s="22"/>
      <c r="B50" s="113"/>
      <c r="C50" s="23"/>
      <c r="D50" s="61"/>
      <c r="E50" s="22"/>
    </row>
    <row r="51" spans="1:24" s="25" customFormat="1" ht="12.75">
      <c r="A51" s="20"/>
      <c r="B51" s="113"/>
      <c r="C51" s="51"/>
      <c r="D51" s="94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</row>
    <row r="52" spans="1:5" s="25" customFormat="1" ht="12.75">
      <c r="A52" s="22"/>
      <c r="B52" s="116"/>
      <c r="C52" s="23"/>
      <c r="D52" s="61"/>
      <c r="E52" s="22"/>
    </row>
    <row r="53" spans="1:24" s="25" customFormat="1" ht="12.75">
      <c r="A53" s="22"/>
      <c r="B53" s="117"/>
      <c r="C53" s="23"/>
      <c r="D53" s="27"/>
      <c r="E53" s="2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</row>
    <row r="54" spans="1:17" s="25" customFormat="1" ht="12.75">
      <c r="A54" s="33"/>
      <c r="B54" s="117"/>
      <c r="C54" s="63"/>
      <c r="D54" s="27"/>
      <c r="E54" s="22"/>
      <c r="L54" s="62"/>
      <c r="M54" s="62"/>
      <c r="N54" s="62"/>
      <c r="O54" s="62"/>
      <c r="P54" s="62"/>
      <c r="Q54" s="62"/>
    </row>
    <row r="55" spans="1:24" s="25" customFormat="1" ht="12.75">
      <c r="A55" s="22"/>
      <c r="B55" s="118"/>
      <c r="C55" s="23"/>
      <c r="D55" s="58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34"/>
      <c r="P55" s="34"/>
      <c r="Q55" s="34"/>
      <c r="R55" s="34"/>
      <c r="S55" s="34"/>
      <c r="T55" s="34"/>
      <c r="U55" s="34"/>
      <c r="V55" s="34"/>
      <c r="W55" s="34"/>
      <c r="X55" s="34"/>
    </row>
    <row r="56" spans="1:14" s="25" customFormat="1" ht="12.75">
      <c r="A56" s="33"/>
      <c r="B56" s="113"/>
      <c r="C56" s="23"/>
      <c r="D56" s="61"/>
      <c r="E56" s="22"/>
      <c r="N56" s="34"/>
    </row>
    <row r="57" spans="1:14" s="25" customFormat="1" ht="12.75">
      <c r="A57" s="48"/>
      <c r="B57" s="114"/>
      <c r="C57" s="49"/>
      <c r="D57" s="91"/>
      <c r="E57" s="49"/>
      <c r="F57" s="49"/>
      <c r="G57" s="49"/>
      <c r="H57" s="49"/>
      <c r="I57" s="49"/>
      <c r="J57" s="49"/>
      <c r="K57" s="49"/>
      <c r="L57" s="49"/>
      <c r="M57" s="49"/>
      <c r="N57" s="49"/>
    </row>
    <row r="58" spans="1:5" s="25" customFormat="1" ht="12.75">
      <c r="A58" s="52"/>
      <c r="B58" s="112"/>
      <c r="C58" s="23"/>
      <c r="D58" s="60"/>
      <c r="E58" s="22"/>
    </row>
    <row r="59" spans="1:5" s="25" customFormat="1" ht="12.75">
      <c r="A59" s="22"/>
      <c r="B59" s="113"/>
      <c r="C59" s="23"/>
      <c r="D59" s="61"/>
      <c r="E59" s="22"/>
    </row>
    <row r="60" spans="1:24" s="25" customFormat="1" ht="12.75">
      <c r="A60" s="22"/>
      <c r="B60" s="113"/>
      <c r="D60" s="61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</row>
    <row r="61" spans="1:5" s="25" customFormat="1" ht="12.75">
      <c r="A61" s="22"/>
      <c r="B61" s="113"/>
      <c r="C61" s="65"/>
      <c r="D61" s="60"/>
      <c r="E61" s="22"/>
    </row>
    <row r="62" spans="1:5" s="25" customFormat="1" ht="12.75">
      <c r="A62" s="22"/>
      <c r="B62" s="113"/>
      <c r="C62" s="21"/>
      <c r="D62" s="61"/>
      <c r="E62" s="22"/>
    </row>
    <row r="63" spans="1:14" s="25" customFormat="1" ht="12.75">
      <c r="A63" s="33"/>
      <c r="B63" s="113"/>
      <c r="C63" s="23"/>
      <c r="D63" s="61"/>
      <c r="E63" s="29"/>
      <c r="F63" s="29"/>
      <c r="G63" s="29"/>
      <c r="H63" s="29"/>
      <c r="I63" s="29"/>
      <c r="J63" s="29"/>
      <c r="K63" s="29"/>
      <c r="L63" s="29"/>
      <c r="M63" s="29"/>
      <c r="N63" s="29"/>
    </row>
    <row r="64" spans="1:5" s="25" customFormat="1" ht="12.75">
      <c r="A64" s="22"/>
      <c r="B64" s="113"/>
      <c r="C64" s="23"/>
      <c r="D64" s="61"/>
      <c r="E64" s="22"/>
    </row>
    <row r="65" spans="1:5" s="25" customFormat="1" ht="15.75">
      <c r="A65" s="81"/>
      <c r="B65" s="113"/>
      <c r="C65" s="23"/>
      <c r="D65" s="61"/>
      <c r="E65" s="22"/>
    </row>
    <row r="66" spans="1:14" s="25" customFormat="1" ht="12.75">
      <c r="A66" s="22"/>
      <c r="B66" s="113"/>
      <c r="C66" s="23"/>
      <c r="D66" s="61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s="25" customFormat="1" ht="12.75">
      <c r="A67" s="7"/>
      <c r="B67" s="119"/>
      <c r="C67" s="7"/>
      <c r="D67" s="95"/>
      <c r="E67" s="7"/>
      <c r="F67" s="7"/>
      <c r="G67" s="7"/>
      <c r="H67" s="7"/>
      <c r="I67" s="7"/>
      <c r="J67" s="7"/>
      <c r="K67" s="7"/>
      <c r="L67" s="7"/>
      <c r="M67" s="7"/>
      <c r="N67" s="7"/>
    </row>
    <row r="68" spans="1:14" s="25" customFormat="1" ht="12.75">
      <c r="A68" s="20"/>
      <c r="B68" s="113"/>
      <c r="C68" s="23"/>
      <c r="D68" s="61"/>
      <c r="E68" s="23"/>
      <c r="F68" s="23"/>
      <c r="G68" s="23"/>
      <c r="H68" s="23"/>
      <c r="I68" s="23"/>
      <c r="J68" s="23"/>
      <c r="K68" s="23"/>
      <c r="L68" s="23"/>
      <c r="M68" s="23"/>
      <c r="N68" s="23"/>
    </row>
    <row r="69" spans="1:14" s="25" customFormat="1" ht="12.75">
      <c r="A69" s="66"/>
      <c r="B69" s="113"/>
      <c r="C69" s="23"/>
      <c r="D69" s="61"/>
      <c r="E69" s="23"/>
      <c r="F69" s="23"/>
      <c r="G69" s="23"/>
      <c r="H69" s="23"/>
      <c r="I69" s="23"/>
      <c r="J69" s="23"/>
      <c r="K69" s="23"/>
      <c r="L69" s="23"/>
      <c r="M69" s="23"/>
      <c r="N69" s="23"/>
    </row>
    <row r="70" spans="1:14" s="25" customFormat="1" ht="12.75">
      <c r="A70" s="66"/>
      <c r="B70" s="113"/>
      <c r="C70" s="23"/>
      <c r="D70" s="61"/>
      <c r="E70" s="23"/>
      <c r="F70" s="23"/>
      <c r="G70" s="23"/>
      <c r="H70" s="23"/>
      <c r="I70" s="23"/>
      <c r="J70" s="23"/>
      <c r="K70" s="23"/>
      <c r="L70" s="23"/>
      <c r="M70" s="23"/>
      <c r="N70" s="23"/>
    </row>
    <row r="71" spans="1:14" s="25" customFormat="1" ht="12.75">
      <c r="A71" s="67"/>
      <c r="B71" s="113"/>
      <c r="C71" s="23"/>
      <c r="D71" s="61"/>
      <c r="E71" s="23"/>
      <c r="F71" s="23"/>
      <c r="G71" s="23"/>
      <c r="H71" s="23"/>
      <c r="I71" s="23"/>
      <c r="J71" s="23"/>
      <c r="K71" s="23"/>
      <c r="L71" s="23"/>
      <c r="M71" s="23"/>
      <c r="N71" s="23"/>
    </row>
    <row r="72" spans="1:14" s="2" customFormat="1" ht="12.75">
      <c r="A72" s="71"/>
      <c r="B72" s="115"/>
      <c r="C72" s="32"/>
      <c r="D72" s="93"/>
      <c r="E72" s="32"/>
      <c r="F72" s="32"/>
      <c r="G72" s="32"/>
      <c r="H72" s="32"/>
      <c r="I72" s="32"/>
      <c r="J72" s="32"/>
      <c r="K72" s="32"/>
      <c r="L72" s="32"/>
      <c r="M72" s="32"/>
      <c r="N72" s="32"/>
    </row>
    <row r="73" spans="1:14" s="25" customFormat="1" ht="12.75">
      <c r="A73" s="67"/>
      <c r="B73" s="113"/>
      <c r="C73" s="23"/>
      <c r="D73" s="61"/>
      <c r="E73" s="23"/>
      <c r="F73" s="23"/>
      <c r="G73" s="23"/>
      <c r="H73" s="23"/>
      <c r="I73" s="23"/>
      <c r="J73" s="23"/>
      <c r="K73" s="23"/>
      <c r="L73" s="23"/>
      <c r="M73" s="23"/>
      <c r="N73" s="23"/>
    </row>
    <row r="74" spans="1:14" s="25" customFormat="1" ht="12.75">
      <c r="A74" s="67"/>
      <c r="B74" s="113"/>
      <c r="C74" s="23"/>
      <c r="D74" s="61"/>
      <c r="E74" s="23"/>
      <c r="F74" s="23"/>
      <c r="G74" s="23"/>
      <c r="H74" s="23"/>
      <c r="I74" s="23"/>
      <c r="J74" s="23"/>
      <c r="K74" s="23"/>
      <c r="L74" s="23"/>
      <c r="M74" s="23"/>
      <c r="N74" s="23"/>
    </row>
    <row r="75" spans="1:14" s="25" customFormat="1" ht="12.75">
      <c r="A75" s="67"/>
      <c r="B75" s="113"/>
      <c r="C75" s="23"/>
      <c r="D75" s="61"/>
      <c r="E75" s="23"/>
      <c r="F75" s="23"/>
      <c r="G75" s="23"/>
      <c r="H75" s="23"/>
      <c r="I75" s="23"/>
      <c r="J75" s="23"/>
      <c r="K75" s="23"/>
      <c r="L75" s="23"/>
      <c r="M75" s="23"/>
      <c r="N75" s="23"/>
    </row>
    <row r="76" spans="1:14" s="2" customFormat="1" ht="12.75">
      <c r="A76" s="71"/>
      <c r="B76" s="115"/>
      <c r="C76" s="32"/>
      <c r="D76" s="93"/>
      <c r="E76" s="32"/>
      <c r="F76" s="32"/>
      <c r="G76" s="32"/>
      <c r="H76" s="32"/>
      <c r="I76" s="32"/>
      <c r="J76" s="32"/>
      <c r="K76" s="32"/>
      <c r="L76" s="32"/>
      <c r="M76" s="32"/>
      <c r="N76" s="32"/>
    </row>
    <row r="77" spans="1:14" s="25" customFormat="1" ht="12.75">
      <c r="A77" s="67"/>
      <c r="B77" s="118"/>
      <c r="C77" s="23"/>
      <c r="D77" s="61"/>
      <c r="E77" s="23"/>
      <c r="F77" s="23"/>
      <c r="G77" s="23"/>
      <c r="H77" s="23"/>
      <c r="I77" s="23"/>
      <c r="J77" s="23"/>
      <c r="K77" s="23"/>
      <c r="L77" s="23"/>
      <c r="M77" s="23"/>
      <c r="N77" s="23"/>
    </row>
    <row r="78" spans="1:14" s="2" customFormat="1" ht="12.75">
      <c r="A78" s="71"/>
      <c r="B78" s="115"/>
      <c r="C78" s="32"/>
      <c r="D78" s="93"/>
      <c r="E78" s="32"/>
      <c r="F78" s="32"/>
      <c r="G78" s="32"/>
      <c r="H78" s="32"/>
      <c r="I78" s="32"/>
      <c r="J78" s="32"/>
      <c r="K78" s="32"/>
      <c r="L78" s="32"/>
      <c r="M78" s="32"/>
      <c r="N78" s="32"/>
    </row>
    <row r="79" spans="1:39" s="25" customFormat="1" ht="12.75">
      <c r="A79" s="22"/>
      <c r="B79" s="113"/>
      <c r="C79" s="23"/>
      <c r="D79" s="61"/>
      <c r="E79" s="23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</row>
    <row r="80" spans="1:39" s="25" customFormat="1" ht="12.75">
      <c r="A80" s="20"/>
      <c r="B80" s="113"/>
      <c r="C80" s="23"/>
      <c r="D80" s="61"/>
      <c r="E80" s="23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</row>
    <row r="81" spans="1:39" s="25" customFormat="1" ht="12.75">
      <c r="A81" s="20"/>
      <c r="B81" s="113"/>
      <c r="C81" s="51"/>
      <c r="D81" s="94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</row>
    <row r="82" spans="1:39" s="25" customFormat="1" ht="12.75">
      <c r="A82" s="22"/>
      <c r="B82" s="116"/>
      <c r="C82" s="23"/>
      <c r="D82" s="61"/>
      <c r="E82" s="2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</row>
    <row r="83" spans="1:39" s="25" customFormat="1" ht="12.75">
      <c r="A83" s="22"/>
      <c r="B83" s="117"/>
      <c r="C83" s="23"/>
      <c r="D83" s="61"/>
      <c r="E83" s="2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</row>
    <row r="84" spans="1:39" s="25" customFormat="1" ht="12.75">
      <c r="A84" s="33"/>
      <c r="B84" s="117"/>
      <c r="C84" s="63"/>
      <c r="D84" s="61"/>
      <c r="E84" s="22"/>
      <c r="L84" s="62"/>
      <c r="M84" s="62"/>
      <c r="N84" s="6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</row>
    <row r="85" spans="1:39" s="25" customFormat="1" ht="12.75">
      <c r="A85" s="22"/>
      <c r="B85" s="118"/>
      <c r="C85" s="23"/>
      <c r="D85" s="58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</row>
    <row r="86" spans="1:39" s="25" customFormat="1" ht="12.75">
      <c r="A86" s="33"/>
      <c r="B86" s="113"/>
      <c r="C86" s="23"/>
      <c r="D86" s="61"/>
      <c r="E86" s="22"/>
      <c r="N86" s="34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</row>
    <row r="87" spans="1:39" s="25" customFormat="1" ht="12.75">
      <c r="A87" s="48"/>
      <c r="B87" s="114"/>
      <c r="C87" s="49"/>
      <c r="D87" s="91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</row>
    <row r="88" spans="1:39" s="25" customFormat="1" ht="12.75">
      <c r="A88" s="52"/>
      <c r="B88" s="112"/>
      <c r="C88" s="23"/>
      <c r="D88" s="60"/>
      <c r="E88" s="2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</row>
    <row r="89" spans="1:5" s="25" customFormat="1" ht="12.75">
      <c r="A89" s="33"/>
      <c r="B89" s="113"/>
      <c r="C89" s="23"/>
      <c r="D89" s="61"/>
      <c r="E89" s="23"/>
    </row>
    <row r="90" spans="1:5" s="25" customFormat="1" ht="12.75">
      <c r="A90" s="22"/>
      <c r="B90" s="113"/>
      <c r="C90" s="23"/>
      <c r="D90" s="61"/>
      <c r="E90" s="23"/>
    </row>
    <row r="91" spans="1:5" s="25" customFormat="1" ht="12.75">
      <c r="A91" s="22"/>
      <c r="B91" s="113"/>
      <c r="C91" s="23"/>
      <c r="D91" s="61"/>
      <c r="E91" s="23"/>
    </row>
    <row r="92" spans="1:5" s="25" customFormat="1" ht="12.75">
      <c r="A92" s="22"/>
      <c r="B92" s="113"/>
      <c r="C92" s="23"/>
      <c r="D92" s="61"/>
      <c r="E92" s="23"/>
    </row>
    <row r="93" spans="1:14" s="25" customFormat="1" ht="12.75">
      <c r="A93" s="22"/>
      <c r="B93" s="113"/>
      <c r="C93" s="23"/>
      <c r="D93" s="61"/>
      <c r="E93" s="23"/>
      <c r="F93" s="23"/>
      <c r="G93" s="23"/>
      <c r="H93" s="23"/>
      <c r="I93" s="23"/>
      <c r="J93" s="23"/>
      <c r="K93" s="23"/>
      <c r="L93" s="23"/>
      <c r="M93" s="23"/>
      <c r="N93" s="23"/>
    </row>
    <row r="94" spans="1:5" s="25" customFormat="1" ht="12.75">
      <c r="A94" s="22"/>
      <c r="B94" s="113"/>
      <c r="C94" s="23"/>
      <c r="D94" s="61"/>
      <c r="E94" s="22"/>
    </row>
    <row r="95" spans="1:5" s="25" customFormat="1" ht="12.75">
      <c r="A95" s="5"/>
      <c r="B95" s="120"/>
      <c r="C95" s="57"/>
      <c r="D95" s="61"/>
      <c r="E95" s="22"/>
    </row>
    <row r="96" spans="1:5" s="25" customFormat="1" ht="12.75">
      <c r="A96" s="22"/>
      <c r="B96" s="113"/>
      <c r="C96" s="23"/>
      <c r="D96" s="61"/>
      <c r="E96" s="22"/>
    </row>
    <row r="97" spans="1:5" s="25" customFormat="1" ht="12.75">
      <c r="A97" s="22"/>
      <c r="B97" s="118"/>
      <c r="C97" s="23"/>
      <c r="D97" s="61"/>
      <c r="E97" s="22"/>
    </row>
    <row r="98" spans="1:5" s="25" customFormat="1" ht="12.75">
      <c r="A98" s="33"/>
      <c r="B98" s="118"/>
      <c r="C98" s="23"/>
      <c r="D98" s="61"/>
      <c r="E98" s="22"/>
    </row>
    <row r="99" spans="1:5" s="25" customFormat="1" ht="12.75">
      <c r="A99" s="33"/>
      <c r="B99" s="113"/>
      <c r="C99" s="23"/>
      <c r="D99" s="61"/>
      <c r="E99" s="22"/>
    </row>
    <row r="100" spans="1:5" s="25" customFormat="1" ht="12.75">
      <c r="A100" s="30"/>
      <c r="B100" s="115"/>
      <c r="C100" s="32"/>
      <c r="D100" s="61"/>
      <c r="E100" s="22"/>
    </row>
    <row r="101" spans="1:5" s="25" customFormat="1" ht="12.75">
      <c r="A101" s="33"/>
      <c r="B101" s="113"/>
      <c r="C101" s="23"/>
      <c r="D101" s="61"/>
      <c r="E101" s="22"/>
    </row>
    <row r="102" spans="1:5" s="25" customFormat="1" ht="12.75">
      <c r="A102" s="33"/>
      <c r="B102" s="113"/>
      <c r="C102" s="23"/>
      <c r="D102" s="61"/>
      <c r="E102" s="22"/>
    </row>
    <row r="103" spans="1:5" s="25" customFormat="1" ht="12.75">
      <c r="A103" s="33"/>
      <c r="B103" s="118"/>
      <c r="C103" s="23"/>
      <c r="D103" s="61"/>
      <c r="E103" s="22"/>
    </row>
    <row r="104" spans="1:5" s="25" customFormat="1" ht="12.75">
      <c r="A104" s="30"/>
      <c r="B104" s="115"/>
      <c r="C104" s="32"/>
      <c r="D104" s="61"/>
      <c r="E104" s="22"/>
    </row>
    <row r="105" spans="1:5" s="25" customFormat="1" ht="12.75">
      <c r="A105" s="22"/>
      <c r="B105" s="113"/>
      <c r="C105" s="23"/>
      <c r="D105" s="61"/>
      <c r="E105" s="22"/>
    </row>
    <row r="106" spans="1:5" s="25" customFormat="1" ht="12.75">
      <c r="A106" s="64"/>
      <c r="B106" s="120"/>
      <c r="C106" s="57"/>
      <c r="D106" s="95"/>
      <c r="E106" s="22"/>
    </row>
    <row r="107" spans="1:5" s="25" customFormat="1" ht="12.75">
      <c r="A107" s="33"/>
      <c r="B107" s="113"/>
      <c r="C107" s="23"/>
      <c r="D107" s="61"/>
      <c r="E107" s="22"/>
    </row>
    <row r="108" spans="1:5" s="25" customFormat="1" ht="12.75">
      <c r="A108" s="33"/>
      <c r="B108" s="113"/>
      <c r="C108" s="23"/>
      <c r="D108" s="61"/>
      <c r="E108" s="22"/>
    </row>
    <row r="109" spans="1:5" s="25" customFormat="1" ht="12.75">
      <c r="A109" s="30"/>
      <c r="B109" s="115"/>
      <c r="C109" s="32"/>
      <c r="D109" s="93"/>
      <c r="E109" s="22"/>
    </row>
    <row r="110" spans="1:5" s="25" customFormat="1" ht="12.75">
      <c r="A110" s="22"/>
      <c r="B110" s="113"/>
      <c r="C110" s="23"/>
      <c r="D110" s="61"/>
      <c r="E110" s="22"/>
    </row>
    <row r="111" spans="1:5" s="25" customFormat="1" ht="12.75">
      <c r="A111" s="64"/>
      <c r="B111" s="120"/>
      <c r="C111" s="57"/>
      <c r="D111" s="95"/>
      <c r="E111" s="22"/>
    </row>
    <row r="112" spans="1:5" s="25" customFormat="1" ht="12.75">
      <c r="A112" s="33"/>
      <c r="B112" s="113"/>
      <c r="C112" s="23"/>
      <c r="D112" s="61"/>
      <c r="E112" s="22"/>
    </row>
    <row r="113" spans="1:5" s="25" customFormat="1" ht="12.75">
      <c r="A113" s="33"/>
      <c r="B113" s="113"/>
      <c r="C113" s="47"/>
      <c r="D113" s="61"/>
      <c r="E113" s="22"/>
    </row>
    <row r="114" spans="1:5" s="25" customFormat="1" ht="12.75">
      <c r="A114" s="30"/>
      <c r="B114" s="115"/>
      <c r="C114" s="32"/>
      <c r="D114" s="93"/>
      <c r="E114" s="22"/>
    </row>
    <row r="115" spans="1:5" s="25" customFormat="1" ht="12.75">
      <c r="A115" s="22"/>
      <c r="B115" s="113"/>
      <c r="C115" s="23"/>
      <c r="D115" s="61"/>
      <c r="E115" s="22"/>
    </row>
    <row r="116" spans="1:5" s="25" customFormat="1" ht="12.75">
      <c r="A116" s="22"/>
      <c r="B116" s="113"/>
      <c r="C116" s="23"/>
      <c r="D116" s="61"/>
      <c r="E116" s="22"/>
    </row>
    <row r="117" spans="1:5" s="25" customFormat="1" ht="12.75">
      <c r="A117" s="52"/>
      <c r="B117" s="113"/>
      <c r="C117" s="23"/>
      <c r="D117" s="61"/>
      <c r="E117" s="22"/>
    </row>
    <row r="118" spans="1:5" s="25" customFormat="1" ht="12.75">
      <c r="A118" s="33"/>
      <c r="B118" s="113"/>
      <c r="C118" s="47"/>
      <c r="D118" s="61"/>
      <c r="E118" s="22"/>
    </row>
    <row r="119" spans="1:5" s="25" customFormat="1" ht="12.75">
      <c r="A119" s="33"/>
      <c r="B119" s="113"/>
      <c r="C119" s="23"/>
      <c r="D119" s="61"/>
      <c r="E119" s="22"/>
    </row>
    <row r="120" spans="1:5" s="25" customFormat="1" ht="12.75">
      <c r="A120" s="33"/>
      <c r="B120" s="113"/>
      <c r="C120" s="23"/>
      <c r="D120" s="61"/>
      <c r="E120" s="22"/>
    </row>
    <row r="121" spans="1:5" s="25" customFormat="1" ht="12.75">
      <c r="A121" s="33"/>
      <c r="B121" s="113"/>
      <c r="C121" s="47"/>
      <c r="D121" s="61"/>
      <c r="E121" s="22"/>
    </row>
    <row r="122" spans="1:5" s="25" customFormat="1" ht="12.75">
      <c r="A122" s="30"/>
      <c r="B122" s="115"/>
      <c r="C122" s="32"/>
      <c r="D122" s="61"/>
      <c r="E122" s="22"/>
    </row>
    <row r="123" spans="1:5" s="25" customFormat="1" ht="12.75">
      <c r="A123" s="22"/>
      <c r="B123" s="113"/>
      <c r="C123" s="23"/>
      <c r="D123" s="61"/>
      <c r="E123" s="22"/>
    </row>
    <row r="124" spans="1:5" s="25" customFormat="1" ht="12.75">
      <c r="A124" s="22"/>
      <c r="B124" s="113"/>
      <c r="C124" s="23"/>
      <c r="D124" s="61"/>
      <c r="E124" s="22"/>
    </row>
    <row r="125" spans="1:5" s="25" customFormat="1" ht="12.75">
      <c r="A125" s="22"/>
      <c r="B125" s="113"/>
      <c r="C125" s="23"/>
      <c r="D125" s="61"/>
      <c r="E125" s="22"/>
    </row>
    <row r="126" spans="1:5" s="25" customFormat="1" ht="12.75">
      <c r="A126" s="22"/>
      <c r="B126" s="113"/>
      <c r="C126" s="23"/>
      <c r="D126" s="61"/>
      <c r="E126" s="22"/>
    </row>
    <row r="127" spans="1:5" s="25" customFormat="1" ht="12.75">
      <c r="A127" s="22"/>
      <c r="B127" s="113"/>
      <c r="C127" s="23"/>
      <c r="D127" s="61"/>
      <c r="E127" s="22"/>
    </row>
    <row r="128" spans="1:5" s="25" customFormat="1" ht="12.75">
      <c r="A128" s="22"/>
      <c r="B128" s="113"/>
      <c r="C128" s="23"/>
      <c r="D128" s="61"/>
      <c r="E128" s="22"/>
    </row>
    <row r="129" spans="1:5" s="25" customFormat="1" ht="12.75">
      <c r="A129" s="22"/>
      <c r="B129" s="113"/>
      <c r="C129" s="23"/>
      <c r="D129" s="61"/>
      <c r="E129" s="22"/>
    </row>
    <row r="130" spans="1:5" s="25" customFormat="1" ht="12.75">
      <c r="A130" s="22"/>
      <c r="B130" s="113"/>
      <c r="C130" s="23"/>
      <c r="D130" s="61"/>
      <c r="E130" s="22"/>
    </row>
    <row r="131" spans="1:5" s="25" customFormat="1" ht="12.75">
      <c r="A131" s="22"/>
      <c r="B131" s="113"/>
      <c r="C131" s="23"/>
      <c r="D131" s="61"/>
      <c r="E131" s="22"/>
    </row>
    <row r="132" spans="1:5" s="25" customFormat="1" ht="12.75">
      <c r="A132" s="22"/>
      <c r="B132" s="113"/>
      <c r="C132" s="23"/>
      <c r="D132" s="61"/>
      <c r="E132" s="22"/>
    </row>
    <row r="133" spans="1:5" s="25" customFormat="1" ht="12.75">
      <c r="A133" s="22"/>
      <c r="B133" s="113"/>
      <c r="C133" s="23"/>
      <c r="D133" s="61"/>
      <c r="E133" s="22"/>
    </row>
    <row r="134" spans="1:5" s="25" customFormat="1" ht="12.75">
      <c r="A134" s="22"/>
      <c r="B134" s="113"/>
      <c r="C134" s="23"/>
      <c r="D134" s="61"/>
      <c r="E134" s="22"/>
    </row>
    <row r="135" spans="1:5" s="25" customFormat="1" ht="12.75">
      <c r="A135" s="22"/>
      <c r="B135" s="113"/>
      <c r="C135" s="23"/>
      <c r="D135" s="61"/>
      <c r="E135" s="22"/>
    </row>
    <row r="136" spans="1:5" s="25" customFormat="1" ht="12.75">
      <c r="A136" s="22"/>
      <c r="B136" s="113"/>
      <c r="C136" s="23"/>
      <c r="D136" s="61"/>
      <c r="E136" s="22"/>
    </row>
    <row r="137" spans="1:5" s="25" customFormat="1" ht="12.75">
      <c r="A137" s="22"/>
      <c r="B137" s="113"/>
      <c r="C137" s="23"/>
      <c r="D137" s="61"/>
      <c r="E137" s="22"/>
    </row>
    <row r="138" spans="1:5" s="25" customFormat="1" ht="12.75">
      <c r="A138" s="22"/>
      <c r="B138" s="113"/>
      <c r="C138" s="23"/>
      <c r="D138" s="61"/>
      <c r="E138" s="22"/>
    </row>
    <row r="139" spans="1:5" s="25" customFormat="1" ht="12.75">
      <c r="A139" s="22"/>
      <c r="B139" s="113"/>
      <c r="C139" s="23"/>
      <c r="D139" s="61"/>
      <c r="E139" s="22"/>
    </row>
    <row r="140" spans="1:5" s="25" customFormat="1" ht="12.75">
      <c r="A140" s="22"/>
      <c r="B140" s="113"/>
      <c r="C140" s="23"/>
      <c r="D140" s="61"/>
      <c r="E140" s="22"/>
    </row>
    <row r="141" spans="1:5" s="25" customFormat="1" ht="12.75">
      <c r="A141" s="22"/>
      <c r="B141" s="113"/>
      <c r="C141" s="23"/>
      <c r="D141" s="61"/>
      <c r="E141" s="22"/>
    </row>
    <row r="142" spans="1:5" s="25" customFormat="1" ht="12.75">
      <c r="A142" s="22"/>
      <c r="B142" s="113"/>
      <c r="C142" s="23"/>
      <c r="D142" s="61"/>
      <c r="E142" s="22"/>
    </row>
    <row r="143" spans="1:5" s="25" customFormat="1" ht="12.75">
      <c r="A143" s="22"/>
      <c r="B143" s="113"/>
      <c r="C143" s="23"/>
      <c r="D143" s="61"/>
      <c r="E143" s="22"/>
    </row>
    <row r="144" spans="1:5" s="25" customFormat="1" ht="12.75">
      <c r="A144" s="22"/>
      <c r="B144" s="113"/>
      <c r="C144" s="23"/>
      <c r="D144" s="61"/>
      <c r="E144" s="22"/>
    </row>
    <row r="145" spans="1:5" s="25" customFormat="1" ht="12.75">
      <c r="A145" s="22"/>
      <c r="B145" s="113"/>
      <c r="C145" s="23"/>
      <c r="D145" s="61"/>
      <c r="E145" s="22"/>
    </row>
    <row r="146" spans="1:5" s="25" customFormat="1" ht="12.75">
      <c r="A146" s="22"/>
      <c r="B146" s="113"/>
      <c r="C146" s="23"/>
      <c r="D146" s="61"/>
      <c r="E146" s="22"/>
    </row>
    <row r="147" spans="1:5" s="25" customFormat="1" ht="12.75">
      <c r="A147" s="22"/>
      <c r="B147" s="113"/>
      <c r="C147" s="23"/>
      <c r="D147" s="61"/>
      <c r="E147" s="22"/>
    </row>
    <row r="148" spans="1:5" s="25" customFormat="1" ht="12.75">
      <c r="A148" s="22"/>
      <c r="B148" s="113"/>
      <c r="C148" s="23"/>
      <c r="D148" s="61"/>
      <c r="E148" s="22"/>
    </row>
    <row r="149" spans="1:5" s="25" customFormat="1" ht="12.75">
      <c r="A149" s="22"/>
      <c r="B149" s="113"/>
      <c r="C149" s="23"/>
      <c r="D149" s="61"/>
      <c r="E149" s="22"/>
    </row>
    <row r="150" spans="1:5" s="25" customFormat="1" ht="12.75">
      <c r="A150" s="22"/>
      <c r="B150" s="113"/>
      <c r="C150" s="23"/>
      <c r="D150" s="61"/>
      <c r="E150" s="22"/>
    </row>
    <row r="151" spans="1:5" s="25" customFormat="1" ht="12.75">
      <c r="A151" s="22"/>
      <c r="B151" s="113"/>
      <c r="C151" s="23"/>
      <c r="D151" s="61"/>
      <c r="E151" s="22"/>
    </row>
    <row r="152" spans="1:5" s="25" customFormat="1" ht="12.75">
      <c r="A152" s="22"/>
      <c r="B152" s="113"/>
      <c r="C152" s="23"/>
      <c r="D152" s="61"/>
      <c r="E152" s="22"/>
    </row>
    <row r="153" spans="1:5" s="25" customFormat="1" ht="12.75">
      <c r="A153" s="22"/>
      <c r="B153" s="113"/>
      <c r="C153" s="23"/>
      <c r="D153" s="61"/>
      <c r="E153" s="22"/>
    </row>
    <row r="154" spans="1:5" s="25" customFormat="1" ht="12.75">
      <c r="A154" s="22"/>
      <c r="B154" s="113"/>
      <c r="C154" s="23"/>
      <c r="D154" s="61"/>
      <c r="E154" s="22"/>
    </row>
    <row r="155" spans="1:5" s="25" customFormat="1" ht="12.75">
      <c r="A155" s="22"/>
      <c r="B155" s="113"/>
      <c r="C155" s="23"/>
      <c r="D155" s="61"/>
      <c r="E155" s="22"/>
    </row>
    <row r="156" spans="1:5" s="25" customFormat="1" ht="12.75">
      <c r="A156" s="22"/>
      <c r="B156" s="113"/>
      <c r="C156" s="23"/>
      <c r="D156" s="61"/>
      <c r="E156" s="22"/>
    </row>
    <row r="157" spans="1:5" s="25" customFormat="1" ht="12.75">
      <c r="A157" s="22"/>
      <c r="B157" s="113"/>
      <c r="C157" s="23"/>
      <c r="D157" s="61"/>
      <c r="E157" s="22"/>
    </row>
    <row r="158" spans="1:5" s="25" customFormat="1" ht="12.75">
      <c r="A158" s="22"/>
      <c r="B158" s="113"/>
      <c r="C158" s="23"/>
      <c r="D158" s="61"/>
      <c r="E158" s="22"/>
    </row>
    <row r="159" spans="1:5" s="25" customFormat="1" ht="12.75">
      <c r="A159" s="22"/>
      <c r="B159" s="113"/>
      <c r="C159" s="23"/>
      <c r="D159" s="61"/>
      <c r="E159" s="22"/>
    </row>
    <row r="160" spans="1:5" s="25" customFormat="1" ht="12.75">
      <c r="A160" s="22"/>
      <c r="B160" s="113"/>
      <c r="C160" s="23"/>
      <c r="D160" s="61"/>
      <c r="E160" s="22"/>
    </row>
    <row r="161" spans="1:5" s="25" customFormat="1" ht="12.75">
      <c r="A161" s="22"/>
      <c r="B161" s="113"/>
      <c r="C161" s="23"/>
      <c r="D161" s="61"/>
      <c r="E161" s="22"/>
    </row>
    <row r="162" spans="1:5" s="25" customFormat="1" ht="12.75">
      <c r="A162" s="22"/>
      <c r="B162" s="113"/>
      <c r="C162" s="23"/>
      <c r="D162" s="61"/>
      <c r="E162" s="22"/>
    </row>
    <row r="163" spans="1:5" s="25" customFormat="1" ht="12.75">
      <c r="A163" s="22"/>
      <c r="B163" s="113"/>
      <c r="C163" s="23"/>
      <c r="D163" s="61"/>
      <c r="E163" s="22"/>
    </row>
    <row r="164" spans="1:5" s="25" customFormat="1" ht="12.75">
      <c r="A164" s="22"/>
      <c r="B164" s="113"/>
      <c r="C164" s="23"/>
      <c r="D164" s="61"/>
      <c r="E164" s="22"/>
    </row>
    <row r="165" spans="1:5" s="25" customFormat="1" ht="12.75">
      <c r="A165" s="22"/>
      <c r="B165" s="113"/>
      <c r="C165" s="23"/>
      <c r="D165" s="61"/>
      <c r="E165" s="22"/>
    </row>
    <row r="166" spans="1:5" s="25" customFormat="1" ht="12.75">
      <c r="A166" s="22"/>
      <c r="B166" s="113"/>
      <c r="C166" s="23"/>
      <c r="D166" s="61"/>
      <c r="E166" s="22"/>
    </row>
    <row r="167" spans="1:5" s="25" customFormat="1" ht="12.75">
      <c r="A167" s="22"/>
      <c r="B167" s="113"/>
      <c r="C167" s="23"/>
      <c r="D167" s="61"/>
      <c r="E167" s="22"/>
    </row>
    <row r="168" spans="1:5" s="25" customFormat="1" ht="12.75">
      <c r="A168" s="22"/>
      <c r="B168" s="113"/>
      <c r="C168" s="23"/>
      <c r="D168" s="61"/>
      <c r="E168" s="22"/>
    </row>
    <row r="169" spans="1:5" s="25" customFormat="1" ht="12.75">
      <c r="A169" s="22"/>
      <c r="B169" s="113"/>
      <c r="C169" s="23"/>
      <c r="D169" s="61"/>
      <c r="E169" s="22"/>
    </row>
    <row r="170" spans="1:5" s="25" customFormat="1" ht="12.75">
      <c r="A170" s="22"/>
      <c r="B170" s="113"/>
      <c r="C170" s="23"/>
      <c r="D170" s="61"/>
      <c r="E170" s="22"/>
    </row>
    <row r="171" spans="1:5" s="25" customFormat="1" ht="12.75">
      <c r="A171" s="22"/>
      <c r="B171" s="113"/>
      <c r="C171" s="23"/>
      <c r="D171" s="61"/>
      <c r="E171" s="22"/>
    </row>
    <row r="172" spans="1:5" s="25" customFormat="1" ht="12.75">
      <c r="A172" s="22"/>
      <c r="B172" s="113"/>
      <c r="C172" s="23"/>
      <c r="D172" s="61"/>
      <c r="E172" s="22"/>
    </row>
    <row r="173" spans="1:5" s="25" customFormat="1" ht="12.75">
      <c r="A173" s="22"/>
      <c r="B173" s="113"/>
      <c r="C173" s="23"/>
      <c r="D173" s="61"/>
      <c r="E173" s="22"/>
    </row>
    <row r="174" spans="1:5" s="25" customFormat="1" ht="12.75">
      <c r="A174" s="22"/>
      <c r="B174" s="113"/>
      <c r="C174" s="23"/>
      <c r="D174" s="61"/>
      <c r="E174" s="22"/>
    </row>
    <row r="175" spans="1:5" s="25" customFormat="1" ht="12.75">
      <c r="A175" s="22"/>
      <c r="B175" s="113"/>
      <c r="C175" s="23"/>
      <c r="D175" s="61"/>
      <c r="E175" s="22"/>
    </row>
    <row r="176" spans="1:5" s="25" customFormat="1" ht="12.75">
      <c r="A176" s="22"/>
      <c r="B176" s="113"/>
      <c r="C176" s="23"/>
      <c r="D176" s="61"/>
      <c r="E176" s="22"/>
    </row>
    <row r="177" spans="1:5" s="25" customFormat="1" ht="12.75">
      <c r="A177" s="22"/>
      <c r="B177" s="113"/>
      <c r="C177" s="23"/>
      <c r="D177" s="61"/>
      <c r="E177" s="22"/>
    </row>
    <row r="178" spans="1:5" s="25" customFormat="1" ht="12.75">
      <c r="A178" s="22"/>
      <c r="B178" s="113"/>
      <c r="C178" s="23"/>
      <c r="D178" s="61"/>
      <c r="E178" s="22"/>
    </row>
    <row r="179" spans="1:5" s="25" customFormat="1" ht="12.75">
      <c r="A179" s="22"/>
      <c r="B179" s="113"/>
      <c r="C179" s="23"/>
      <c r="D179" s="61"/>
      <c r="E179" s="22"/>
    </row>
    <row r="180" spans="1:5" s="25" customFormat="1" ht="12.75">
      <c r="A180" s="22"/>
      <c r="B180" s="113"/>
      <c r="C180" s="23"/>
      <c r="D180" s="61"/>
      <c r="E180" s="22"/>
    </row>
    <row r="181" spans="1:5" s="25" customFormat="1" ht="12.75">
      <c r="A181" s="22"/>
      <c r="B181" s="113"/>
      <c r="C181" s="23"/>
      <c r="D181" s="61"/>
      <c r="E181" s="22"/>
    </row>
    <row r="182" spans="1:5" s="25" customFormat="1" ht="12.75">
      <c r="A182" s="22"/>
      <c r="B182" s="113"/>
      <c r="C182" s="23"/>
      <c r="D182" s="61"/>
      <c r="E182" s="22"/>
    </row>
    <row r="183" spans="1:5" s="25" customFormat="1" ht="12.75">
      <c r="A183" s="22"/>
      <c r="B183" s="113"/>
      <c r="C183" s="23"/>
      <c r="D183" s="61"/>
      <c r="E183" s="22"/>
    </row>
    <row r="184" spans="1:5" s="25" customFormat="1" ht="12.75">
      <c r="A184" s="22"/>
      <c r="B184" s="113"/>
      <c r="C184" s="23"/>
      <c r="D184" s="61"/>
      <c r="E184" s="22"/>
    </row>
    <row r="185" spans="1:5" s="25" customFormat="1" ht="12.75">
      <c r="A185" s="22"/>
      <c r="B185" s="113"/>
      <c r="C185" s="23"/>
      <c r="D185" s="61"/>
      <c r="E185" s="22"/>
    </row>
    <row r="186" spans="1:5" s="25" customFormat="1" ht="12.75">
      <c r="A186" s="22"/>
      <c r="B186" s="113"/>
      <c r="C186" s="23"/>
      <c r="D186" s="61"/>
      <c r="E186" s="22"/>
    </row>
  </sheetData>
  <printOptions/>
  <pageMargins left="0.5" right="0.34" top="0.59" bottom="0.7" header="0.5" footer="0.45"/>
  <pageSetup horizontalDpi="300" verticalDpi="300" orientation="landscape" scale="80" r:id="rId1"/>
  <headerFooter alignWithMargins="0">
    <oddFooter>&amp;L&amp;F, &amp;A&amp;CPage &amp;P of &amp;N&amp;R&amp;D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597"/>
  <sheetViews>
    <sheetView zoomScale="80" zoomScaleNormal="80" workbookViewId="0" topLeftCell="A1">
      <selection activeCell="A2" sqref="A2"/>
    </sheetView>
  </sheetViews>
  <sheetFormatPr defaultColWidth="9.140625" defaultRowHeight="12.75"/>
  <cols>
    <col min="1" max="1" width="7.57421875" style="0" customWidth="1"/>
    <col min="2" max="2" width="22.8515625" style="0" customWidth="1"/>
    <col min="3" max="3" width="12.140625" style="0" customWidth="1"/>
    <col min="4" max="4" width="11.28125" style="0" customWidth="1"/>
    <col min="5" max="5" width="10.00390625" style="0" bestFit="1" customWidth="1"/>
    <col min="6" max="6" width="11.57421875" style="0" bestFit="1" customWidth="1"/>
    <col min="7" max="7" width="12.28125" style="0" bestFit="1" customWidth="1"/>
    <col min="8" max="8" width="10.00390625" style="0" bestFit="1" customWidth="1"/>
    <col min="9" max="10" width="11.00390625" style="0" bestFit="1" customWidth="1"/>
    <col min="11" max="12" width="10.00390625" style="0" bestFit="1" customWidth="1"/>
    <col min="13" max="13" width="7.421875" style="0" bestFit="1" customWidth="1"/>
  </cols>
  <sheetData>
    <row r="1" spans="1:2" ht="15.75">
      <c r="A1" s="1"/>
      <c r="B1" s="1"/>
    </row>
    <row r="2" spans="1:4" ht="12.75">
      <c r="A2" s="2" t="s">
        <v>160</v>
      </c>
      <c r="D2" s="129">
        <f ca="1">TODAY()</f>
        <v>37209</v>
      </c>
    </row>
    <row r="5" spans="1:3" ht="12.75">
      <c r="A5" t="s">
        <v>31</v>
      </c>
      <c r="C5" s="43">
        <f>+'Affordable proforma'!D33</f>
        <v>1470360</v>
      </c>
    </row>
    <row r="6" spans="1:3" ht="12.75">
      <c r="A6" t="s">
        <v>32</v>
      </c>
      <c r="C6" s="42">
        <f>+'Affordable proforma'!D38</f>
        <v>0.0035615309044315243</v>
      </c>
    </row>
    <row r="7" spans="1:7" ht="12.75">
      <c r="A7" t="s">
        <v>28</v>
      </c>
      <c r="C7" s="45">
        <f>+'Affordable proforma'!D39*12</f>
        <v>480</v>
      </c>
      <c r="D7" t="s">
        <v>33</v>
      </c>
      <c r="F7" s="5"/>
      <c r="G7" s="6"/>
    </row>
    <row r="8" spans="1:7" ht="12.75">
      <c r="A8" t="s">
        <v>29</v>
      </c>
      <c r="C8" s="37">
        <f>-PMT(C6/12,C7,C5)</f>
        <v>3287.08</v>
      </c>
      <c r="F8" s="10"/>
      <c r="G8" s="37"/>
    </row>
    <row r="9" spans="1:7" ht="12.75">
      <c r="A9" t="s">
        <v>30</v>
      </c>
      <c r="C9" s="10">
        <f>C8*12</f>
        <v>39444.96</v>
      </c>
      <c r="F9" s="10"/>
      <c r="G9" s="37"/>
    </row>
    <row r="10" spans="1:3" ht="12.75">
      <c r="A10" t="s">
        <v>42</v>
      </c>
      <c r="C10" s="58">
        <v>0</v>
      </c>
    </row>
    <row r="11" spans="10:12" ht="12.75">
      <c r="J11" s="3"/>
      <c r="K11" s="3"/>
      <c r="L11" s="3" t="s">
        <v>59</v>
      </c>
    </row>
    <row r="12" spans="1:12" ht="12.75">
      <c r="A12" s="2" t="s">
        <v>35</v>
      </c>
      <c r="B12" s="2"/>
      <c r="D12" s="3"/>
      <c r="E12" s="3" t="s">
        <v>41</v>
      </c>
      <c r="F12" s="3"/>
      <c r="G12" s="3"/>
      <c r="H12" s="3" t="s">
        <v>41</v>
      </c>
      <c r="I12" s="3"/>
      <c r="J12" s="3"/>
      <c r="K12" s="3"/>
      <c r="L12" s="3" t="s">
        <v>34</v>
      </c>
    </row>
    <row r="13" spans="2:13" ht="12.75">
      <c r="B13" s="2"/>
      <c r="C13" s="3" t="s">
        <v>36</v>
      </c>
      <c r="D13" s="3" t="s">
        <v>37</v>
      </c>
      <c r="E13" s="3" t="s">
        <v>37</v>
      </c>
      <c r="F13" s="3" t="s">
        <v>38</v>
      </c>
      <c r="G13" s="3" t="s">
        <v>34</v>
      </c>
      <c r="H13" s="3" t="s">
        <v>34</v>
      </c>
      <c r="I13" s="3"/>
      <c r="J13" s="3"/>
      <c r="K13" s="3"/>
      <c r="L13" s="3" t="s">
        <v>58</v>
      </c>
      <c r="M13" s="3" t="s">
        <v>60</v>
      </c>
    </row>
    <row r="14" spans="1:13" ht="12.75">
      <c r="A14" s="5" t="s">
        <v>39</v>
      </c>
      <c r="B14" s="5"/>
      <c r="C14" s="7" t="s">
        <v>37</v>
      </c>
      <c r="D14" s="7" t="s">
        <v>40</v>
      </c>
      <c r="E14" s="7" t="s">
        <v>40</v>
      </c>
      <c r="F14" s="7" t="s">
        <v>37</v>
      </c>
      <c r="G14" s="7" t="s">
        <v>40</v>
      </c>
      <c r="H14" s="7" t="s">
        <v>40</v>
      </c>
      <c r="I14" s="7"/>
      <c r="J14" s="7"/>
      <c r="K14" s="7"/>
      <c r="L14" s="7" t="s">
        <v>26</v>
      </c>
      <c r="M14" s="7" t="s">
        <v>61</v>
      </c>
    </row>
    <row r="15" spans="1:9" ht="12.75">
      <c r="A15" s="44">
        <v>1</v>
      </c>
      <c r="B15" s="46"/>
      <c r="C15" s="10">
        <f>C5</f>
        <v>1470360</v>
      </c>
      <c r="D15" s="10">
        <f aca="true" t="shared" si="0" ref="D15:D78">-PPMT($C$6/12,A15,$C$7,$C$5)</f>
        <v>2850.685618280005</v>
      </c>
      <c r="E15" s="10"/>
      <c r="F15" s="10">
        <f aca="true" t="shared" si="1" ref="F15:F78">C15-D15</f>
        <v>1467509.31438172</v>
      </c>
      <c r="G15" s="10">
        <f aca="true" t="shared" si="2" ref="G15:G78">-IPMT($C$6/12,A15,$C$7,$C$5)</f>
        <v>436.39438171999467</v>
      </c>
      <c r="I15" s="37"/>
    </row>
    <row r="16" spans="1:9" ht="12.75">
      <c r="A16" s="44">
        <v>2</v>
      </c>
      <c r="B16" s="46"/>
      <c r="C16" s="10">
        <f aca="true" t="shared" si="3" ref="C16:C79">F15</f>
        <v>1467509.31438172</v>
      </c>
      <c r="D16" s="10">
        <f t="shared" si="0"/>
        <v>2851.5316853573654</v>
      </c>
      <c r="E16" s="10"/>
      <c r="F16" s="10">
        <f t="shared" si="1"/>
        <v>1464657.7826963626</v>
      </c>
      <c r="G16" s="10">
        <f t="shared" si="2"/>
        <v>435.5483146426344</v>
      </c>
      <c r="I16" s="37"/>
    </row>
    <row r="17" spans="1:9" ht="12.75">
      <c r="A17" s="44">
        <v>3</v>
      </c>
      <c r="B17" s="46"/>
      <c r="C17" s="10">
        <f t="shared" si="3"/>
        <v>1464657.7826963626</v>
      </c>
      <c r="D17" s="10">
        <f t="shared" si="0"/>
        <v>2852.3780035425625</v>
      </c>
      <c r="E17" s="10"/>
      <c r="F17" s="10">
        <f t="shared" si="1"/>
        <v>1461805.40469282</v>
      </c>
      <c r="G17" s="10">
        <f t="shared" si="2"/>
        <v>434.70199645743725</v>
      </c>
      <c r="I17" s="37"/>
    </row>
    <row r="18" spans="1:9" ht="12.75">
      <c r="A18" s="44">
        <v>4</v>
      </c>
      <c r="B18" s="46"/>
      <c r="C18" s="10">
        <f t="shared" si="3"/>
        <v>1461805.40469282</v>
      </c>
      <c r="D18" s="10">
        <f t="shared" si="0"/>
        <v>2853.224572910124</v>
      </c>
      <c r="E18" s="10"/>
      <c r="F18" s="10">
        <f t="shared" si="1"/>
        <v>1458952.1801199098</v>
      </c>
      <c r="G18" s="10">
        <f t="shared" si="2"/>
        <v>433.85542708987566</v>
      </c>
      <c r="I18" s="37"/>
    </row>
    <row r="19" spans="1:9" ht="12.75">
      <c r="A19" s="44">
        <v>5</v>
      </c>
      <c r="B19" s="46"/>
      <c r="C19" s="10">
        <f t="shared" si="3"/>
        <v>1458952.1801199098</v>
      </c>
      <c r="D19" s="10">
        <f t="shared" si="0"/>
        <v>2854.0713935345993</v>
      </c>
      <c r="E19" s="10"/>
      <c r="F19" s="10">
        <f t="shared" si="1"/>
        <v>1456098.1087263753</v>
      </c>
      <c r="G19" s="10">
        <f t="shared" si="2"/>
        <v>433.00860646540053</v>
      </c>
      <c r="I19" s="37"/>
    </row>
    <row r="20" spans="1:9" ht="12.75">
      <c r="A20" s="44">
        <v>6</v>
      </c>
      <c r="B20" s="46"/>
      <c r="C20" s="10">
        <f t="shared" si="3"/>
        <v>1456098.1087263753</v>
      </c>
      <c r="D20" s="10">
        <f t="shared" si="0"/>
        <v>2854.91846549056</v>
      </c>
      <c r="E20" s="10"/>
      <c r="F20" s="10">
        <f t="shared" si="1"/>
        <v>1453243.1902608848</v>
      </c>
      <c r="G20" s="10">
        <f t="shared" si="2"/>
        <v>432.16153450943995</v>
      </c>
      <c r="I20" s="37"/>
    </row>
    <row r="21" spans="1:9" ht="12.75">
      <c r="A21" s="44">
        <v>7</v>
      </c>
      <c r="B21" s="46"/>
      <c r="C21" s="10">
        <f t="shared" si="3"/>
        <v>1453243.1902608848</v>
      </c>
      <c r="D21" s="10">
        <f t="shared" si="0"/>
        <v>2855.7657888525996</v>
      </c>
      <c r="E21" s="10"/>
      <c r="F21" s="10">
        <f t="shared" si="1"/>
        <v>1450387.424472032</v>
      </c>
      <c r="G21" s="10">
        <f t="shared" si="2"/>
        <v>431.3142111474004</v>
      </c>
      <c r="I21" s="37"/>
    </row>
    <row r="22" spans="1:12" ht="12.75">
      <c r="A22" s="44">
        <v>8</v>
      </c>
      <c r="B22" s="46"/>
      <c r="C22" s="10">
        <f t="shared" si="3"/>
        <v>1450387.424472032</v>
      </c>
      <c r="D22" s="10">
        <f t="shared" si="0"/>
        <v>2856.6133636953346</v>
      </c>
      <c r="E22" s="10"/>
      <c r="F22" s="10">
        <f t="shared" si="1"/>
        <v>1447530.8111083368</v>
      </c>
      <c r="G22" s="10">
        <f t="shared" si="2"/>
        <v>430.4666363046656</v>
      </c>
      <c r="H22" s="10"/>
      <c r="I22" s="37"/>
      <c r="J22" s="10"/>
      <c r="K22" s="10"/>
      <c r="L22" s="10"/>
    </row>
    <row r="23" spans="1:9" ht="12.75">
      <c r="A23" s="44">
        <v>9</v>
      </c>
      <c r="B23" s="46"/>
      <c r="C23" s="10">
        <f t="shared" si="3"/>
        <v>1447530.8111083368</v>
      </c>
      <c r="D23" s="10">
        <f t="shared" si="0"/>
        <v>2857.461190093402</v>
      </c>
      <c r="E23" s="10"/>
      <c r="F23" s="10">
        <f t="shared" si="1"/>
        <v>1444673.3499182435</v>
      </c>
      <c r="G23" s="10">
        <f t="shared" si="2"/>
        <v>429.61880990659785</v>
      </c>
      <c r="I23" s="37"/>
    </row>
    <row r="24" spans="1:9" ht="12.75">
      <c r="A24" s="44">
        <v>10</v>
      </c>
      <c r="B24" s="46"/>
      <c r="C24" s="10">
        <f t="shared" si="3"/>
        <v>1444673.3499182435</v>
      </c>
      <c r="D24" s="10">
        <f t="shared" si="0"/>
        <v>2858.3092681214634</v>
      </c>
      <c r="E24" s="10"/>
      <c r="F24" s="10">
        <f t="shared" si="1"/>
        <v>1441815.040650122</v>
      </c>
      <c r="G24" s="10">
        <f t="shared" si="2"/>
        <v>428.77073187853665</v>
      </c>
      <c r="I24" s="37"/>
    </row>
    <row r="25" spans="1:9" ht="12.75">
      <c r="A25" s="44">
        <v>11</v>
      </c>
      <c r="B25" s="46"/>
      <c r="C25" s="10">
        <f t="shared" si="3"/>
        <v>1441815.040650122</v>
      </c>
      <c r="D25" s="10">
        <f t="shared" si="0"/>
        <v>2859.1575978541996</v>
      </c>
      <c r="E25" s="10"/>
      <c r="F25" s="10">
        <f t="shared" si="1"/>
        <v>1438955.8830522678</v>
      </c>
      <c r="G25" s="10">
        <f t="shared" si="2"/>
        <v>427.92240214580056</v>
      </c>
      <c r="I25" s="37"/>
    </row>
    <row r="26" spans="1:9" ht="12.75">
      <c r="A26" s="44">
        <v>12</v>
      </c>
      <c r="B26" s="46"/>
      <c r="C26" s="10">
        <f t="shared" si="3"/>
        <v>1438955.8830522678</v>
      </c>
      <c r="D26" s="10">
        <f t="shared" si="0"/>
        <v>2860.0061793663162</v>
      </c>
      <c r="E26" s="10">
        <f>SUM(D15:D26)</f>
        <v>34264.12312709853</v>
      </c>
      <c r="F26" s="10">
        <f t="shared" si="1"/>
        <v>1436095.8768729016</v>
      </c>
      <c r="G26" s="10">
        <f t="shared" si="2"/>
        <v>427.0738206336839</v>
      </c>
      <c r="H26" s="10">
        <f>SUM(G15:G26)</f>
        <v>5180.836872901467</v>
      </c>
      <c r="I26" s="37"/>
    </row>
    <row r="27" spans="1:9" ht="12.75">
      <c r="A27" s="44">
        <v>13</v>
      </c>
      <c r="B27" s="46"/>
      <c r="C27" s="10">
        <f t="shared" si="3"/>
        <v>1436095.8768729016</v>
      </c>
      <c r="D27" s="10">
        <f t="shared" si="0"/>
        <v>2860.8550127325393</v>
      </c>
      <c r="E27" s="10"/>
      <c r="F27" s="10">
        <f t="shared" si="1"/>
        <v>1433235.021860169</v>
      </c>
      <c r="G27" s="10">
        <f t="shared" si="2"/>
        <v>426.22498726746045</v>
      </c>
      <c r="I27" s="37"/>
    </row>
    <row r="28" spans="1:9" ht="12.75">
      <c r="A28" s="44">
        <v>14</v>
      </c>
      <c r="B28" s="46"/>
      <c r="C28" s="10">
        <f t="shared" si="3"/>
        <v>1433235.021860169</v>
      </c>
      <c r="D28" s="10">
        <f t="shared" si="0"/>
        <v>2861.7040980276174</v>
      </c>
      <c r="E28" s="10"/>
      <c r="F28" s="10">
        <f t="shared" si="1"/>
        <v>1430373.3177621413</v>
      </c>
      <c r="G28" s="10">
        <f t="shared" si="2"/>
        <v>425.37590197238234</v>
      </c>
      <c r="I28" s="37"/>
    </row>
    <row r="29" spans="1:9" ht="12.75">
      <c r="A29" s="44">
        <v>15</v>
      </c>
      <c r="B29" s="46"/>
      <c r="C29" s="10">
        <f t="shared" si="3"/>
        <v>1430373.3177621413</v>
      </c>
      <c r="D29" s="10">
        <f t="shared" si="0"/>
        <v>2862.553435326323</v>
      </c>
      <c r="E29" s="10"/>
      <c r="F29" s="10">
        <f t="shared" si="1"/>
        <v>1427510.764326815</v>
      </c>
      <c r="G29" s="10">
        <f t="shared" si="2"/>
        <v>424.52656467367694</v>
      </c>
      <c r="I29" s="37"/>
    </row>
    <row r="30" spans="1:9" ht="12.75">
      <c r="A30" s="44">
        <v>16</v>
      </c>
      <c r="B30" s="46"/>
      <c r="C30" s="10">
        <f t="shared" si="3"/>
        <v>1427510.764326815</v>
      </c>
      <c r="D30" s="10">
        <f t="shared" si="0"/>
        <v>2863.403024703448</v>
      </c>
      <c r="E30" s="10"/>
      <c r="F30" s="10">
        <f t="shared" si="1"/>
        <v>1424647.3613021115</v>
      </c>
      <c r="G30" s="10">
        <f t="shared" si="2"/>
        <v>423.676975296552</v>
      </c>
      <c r="I30" s="37"/>
    </row>
    <row r="31" spans="1:9" ht="12.75">
      <c r="A31" s="44">
        <v>17</v>
      </c>
      <c r="B31" s="46"/>
      <c r="C31" s="10">
        <f t="shared" si="3"/>
        <v>1424647.3613021115</v>
      </c>
      <c r="D31" s="10">
        <f t="shared" si="0"/>
        <v>2864.2528662338086</v>
      </c>
      <c r="E31" s="10"/>
      <c r="F31" s="10">
        <f t="shared" si="1"/>
        <v>1421783.1084358778</v>
      </c>
      <c r="G31" s="10">
        <f t="shared" si="2"/>
        <v>422.8271337661913</v>
      </c>
      <c r="I31" s="37"/>
    </row>
    <row r="32" spans="1:9" ht="12.75">
      <c r="A32" s="44">
        <v>18</v>
      </c>
      <c r="B32" s="46"/>
      <c r="C32" s="10">
        <f t="shared" si="3"/>
        <v>1421783.1084358778</v>
      </c>
      <c r="D32" s="10">
        <f t="shared" si="0"/>
        <v>2865.1029599922417</v>
      </c>
      <c r="E32" s="10"/>
      <c r="F32" s="10">
        <f t="shared" si="1"/>
        <v>1418918.0054758857</v>
      </c>
      <c r="G32" s="10">
        <f t="shared" si="2"/>
        <v>421.9770400077583</v>
      </c>
      <c r="I32" s="37"/>
    </row>
    <row r="33" spans="1:9" ht="12.75">
      <c r="A33" s="44">
        <v>19</v>
      </c>
      <c r="B33" s="46"/>
      <c r="C33" s="10">
        <f t="shared" si="3"/>
        <v>1418918.0054758857</v>
      </c>
      <c r="D33" s="10">
        <f t="shared" si="0"/>
        <v>2865.9533060536073</v>
      </c>
      <c r="E33" s="10"/>
      <c r="F33" s="10">
        <f t="shared" si="1"/>
        <v>1416052.0521698322</v>
      </c>
      <c r="G33" s="10">
        <f t="shared" si="2"/>
        <v>421.1266939463925</v>
      </c>
      <c r="I33" s="37"/>
    </row>
    <row r="34" spans="1:13" ht="12.75">
      <c r="A34" s="44">
        <v>20</v>
      </c>
      <c r="B34" s="46"/>
      <c r="C34" s="10">
        <f t="shared" si="3"/>
        <v>1416052.0521698322</v>
      </c>
      <c r="D34" s="10">
        <f t="shared" si="0"/>
        <v>2866.803904492788</v>
      </c>
      <c r="E34" s="10"/>
      <c r="F34" s="10">
        <f t="shared" si="1"/>
        <v>1413185.2482653393</v>
      </c>
      <c r="G34" s="10">
        <f t="shared" si="2"/>
        <v>420.2760955072117</v>
      </c>
      <c r="H34" s="10"/>
      <c r="I34" s="37"/>
      <c r="J34" s="10"/>
      <c r="K34" s="10"/>
      <c r="L34" s="10">
        <f>K34-K22</f>
        <v>0</v>
      </c>
      <c r="M34" s="54" t="e">
        <f>L34/K22</f>
        <v>#DIV/0!</v>
      </c>
    </row>
    <row r="35" spans="1:9" ht="12.75">
      <c r="A35" s="44">
        <v>21</v>
      </c>
      <c r="B35" s="46"/>
      <c r="C35" s="10">
        <f t="shared" si="3"/>
        <v>1413185.2482653393</v>
      </c>
      <c r="D35" s="10">
        <f t="shared" si="0"/>
        <v>2867.654755384688</v>
      </c>
      <c r="E35" s="10"/>
      <c r="F35" s="10">
        <f t="shared" si="1"/>
        <v>1410317.5935099546</v>
      </c>
      <c r="G35" s="10">
        <f t="shared" si="2"/>
        <v>419.4252446153118</v>
      </c>
      <c r="I35" s="37"/>
    </row>
    <row r="36" spans="1:9" ht="12.75">
      <c r="A36" s="44">
        <v>22</v>
      </c>
      <c r="B36" s="46"/>
      <c r="C36" s="10">
        <f t="shared" si="3"/>
        <v>1410317.5935099546</v>
      </c>
      <c r="D36" s="10">
        <f t="shared" si="0"/>
        <v>2868.505858804233</v>
      </c>
      <c r="E36" s="10"/>
      <c r="F36" s="10">
        <f t="shared" si="1"/>
        <v>1407449.0876511503</v>
      </c>
      <c r="G36" s="10">
        <f t="shared" si="2"/>
        <v>418.57414119576686</v>
      </c>
      <c r="I36" s="37"/>
    </row>
    <row r="37" spans="1:9" ht="12.75">
      <c r="A37" s="44">
        <v>23</v>
      </c>
      <c r="B37" s="46"/>
      <c r="C37" s="10">
        <f t="shared" si="3"/>
        <v>1407449.0876511503</v>
      </c>
      <c r="D37" s="10">
        <f t="shared" si="0"/>
        <v>2869.357214826373</v>
      </c>
      <c r="E37" s="10"/>
      <c r="F37" s="10">
        <f t="shared" si="1"/>
        <v>1404579.730436324</v>
      </c>
      <c r="G37" s="10">
        <f t="shared" si="2"/>
        <v>417.72278517362713</v>
      </c>
      <c r="I37" s="37"/>
    </row>
    <row r="38" spans="1:9" ht="12.75">
      <c r="A38" s="44">
        <v>24</v>
      </c>
      <c r="B38" s="46"/>
      <c r="C38" s="10">
        <f t="shared" si="3"/>
        <v>1404579.730436324</v>
      </c>
      <c r="D38" s="10">
        <f t="shared" si="0"/>
        <v>2870.208823526077</v>
      </c>
      <c r="E38" s="10">
        <f>SUM(D27:D38)</f>
        <v>34386.355260103745</v>
      </c>
      <c r="F38" s="10">
        <f t="shared" si="1"/>
        <v>1401709.5216127979</v>
      </c>
      <c r="G38" s="10">
        <f t="shared" si="2"/>
        <v>416.87117647392256</v>
      </c>
      <c r="H38" s="10">
        <f>SUM(G27:G38)</f>
        <v>5058.604739896254</v>
      </c>
      <c r="I38" s="37"/>
    </row>
    <row r="39" spans="1:9" ht="12.75">
      <c r="A39" s="44">
        <v>25</v>
      </c>
      <c r="B39" s="46"/>
      <c r="C39" s="10">
        <f t="shared" si="3"/>
        <v>1401709.5216127979</v>
      </c>
      <c r="D39" s="10">
        <f t="shared" si="0"/>
        <v>2871.0606849783408</v>
      </c>
      <c r="E39" s="10"/>
      <c r="F39" s="10">
        <f t="shared" si="1"/>
        <v>1398838.4609278196</v>
      </c>
      <c r="G39" s="10">
        <f t="shared" si="2"/>
        <v>416.01931502165905</v>
      </c>
      <c r="I39" s="37"/>
    </row>
    <row r="40" spans="1:9" ht="12.75">
      <c r="A40" s="44">
        <v>26</v>
      </c>
      <c r="B40" s="46"/>
      <c r="C40" s="10">
        <f t="shared" si="3"/>
        <v>1398838.4609278196</v>
      </c>
      <c r="D40" s="10">
        <f t="shared" si="0"/>
        <v>2871.9127992581784</v>
      </c>
      <c r="E40" s="10"/>
      <c r="F40" s="10">
        <f t="shared" si="1"/>
        <v>1395966.5481285613</v>
      </c>
      <c r="G40" s="10">
        <f t="shared" si="2"/>
        <v>415.1672007418215</v>
      </c>
      <c r="I40" s="37"/>
    </row>
    <row r="41" spans="1:9" ht="12.75">
      <c r="A41" s="44">
        <v>27</v>
      </c>
      <c r="B41" s="46"/>
      <c r="C41" s="10">
        <f t="shared" si="3"/>
        <v>1395966.5481285613</v>
      </c>
      <c r="D41" s="10">
        <f t="shared" si="0"/>
        <v>2872.765166440627</v>
      </c>
      <c r="E41" s="10"/>
      <c r="F41" s="10">
        <f t="shared" si="1"/>
        <v>1393093.7829621208</v>
      </c>
      <c r="G41" s="10">
        <f t="shared" si="2"/>
        <v>414.3148335593728</v>
      </c>
      <c r="I41" s="37"/>
    </row>
    <row r="42" spans="1:9" ht="12.75">
      <c r="A42" s="44">
        <v>28</v>
      </c>
      <c r="B42" s="46"/>
      <c r="C42" s="10">
        <f t="shared" si="3"/>
        <v>1393093.7829621208</v>
      </c>
      <c r="D42" s="10">
        <f t="shared" si="0"/>
        <v>2873.6177866007483</v>
      </c>
      <c r="E42" s="10"/>
      <c r="F42" s="10">
        <f t="shared" si="1"/>
        <v>1390220.1651755201</v>
      </c>
      <c r="G42" s="10">
        <f t="shared" si="2"/>
        <v>413.46221339925165</v>
      </c>
      <c r="I42" s="37"/>
    </row>
    <row r="43" spans="1:9" ht="12.75">
      <c r="A43" s="44">
        <v>29</v>
      </c>
      <c r="B43" s="46"/>
      <c r="C43" s="10">
        <f t="shared" si="3"/>
        <v>1390220.1651755201</v>
      </c>
      <c r="D43" s="10">
        <f t="shared" si="0"/>
        <v>2874.470659813624</v>
      </c>
      <c r="E43" s="10"/>
      <c r="F43" s="10">
        <f t="shared" si="1"/>
        <v>1387345.6945157065</v>
      </c>
      <c r="G43" s="10">
        <f t="shared" si="2"/>
        <v>412.609340186376</v>
      </c>
      <c r="I43" s="37"/>
    </row>
    <row r="44" spans="1:9" ht="12.75">
      <c r="A44" s="44">
        <v>30</v>
      </c>
      <c r="B44" s="46"/>
      <c r="C44" s="10">
        <f t="shared" si="3"/>
        <v>1387345.6945157065</v>
      </c>
      <c r="D44" s="10">
        <f t="shared" si="0"/>
        <v>2875.323786154357</v>
      </c>
      <c r="E44" s="10"/>
      <c r="F44" s="10">
        <f t="shared" si="1"/>
        <v>1384470.370729552</v>
      </c>
      <c r="G44" s="10">
        <f t="shared" si="2"/>
        <v>411.7562138456429</v>
      </c>
      <c r="I44" s="37"/>
    </row>
    <row r="45" spans="1:9" ht="12.75">
      <c r="A45" s="44">
        <v>31</v>
      </c>
      <c r="B45" s="46"/>
      <c r="C45" s="10">
        <f t="shared" si="3"/>
        <v>1384470.370729552</v>
      </c>
      <c r="D45" s="10">
        <f t="shared" si="0"/>
        <v>2876.1771656980773</v>
      </c>
      <c r="E45" s="10"/>
      <c r="F45" s="10">
        <f t="shared" si="1"/>
        <v>1381594.193563854</v>
      </c>
      <c r="G45" s="10">
        <f t="shared" si="2"/>
        <v>410.90283430192267</v>
      </c>
      <c r="I45" s="37"/>
    </row>
    <row r="46" spans="1:13" ht="12.75">
      <c r="A46" s="44">
        <v>32</v>
      </c>
      <c r="B46" s="46"/>
      <c r="C46" s="10">
        <f t="shared" si="3"/>
        <v>1381594.193563854</v>
      </c>
      <c r="D46" s="10">
        <f t="shared" si="0"/>
        <v>2877.030798519931</v>
      </c>
      <c r="E46" s="10"/>
      <c r="F46" s="10">
        <f t="shared" si="1"/>
        <v>1378717.1627653341</v>
      </c>
      <c r="G46" s="10">
        <f t="shared" si="2"/>
        <v>410.0492014800687</v>
      </c>
      <c r="H46" s="10"/>
      <c r="I46" s="37"/>
      <c r="J46" s="10"/>
      <c r="K46" s="10"/>
      <c r="L46" s="10">
        <f>K46-K34</f>
        <v>0</v>
      </c>
      <c r="M46" s="54" t="e">
        <f>L46/K34</f>
        <v>#DIV/0!</v>
      </c>
    </row>
    <row r="47" spans="1:9" ht="12.75">
      <c r="A47" s="44">
        <v>33</v>
      </c>
      <c r="B47" s="46"/>
      <c r="C47" s="10">
        <f t="shared" si="3"/>
        <v>1378717.1627653341</v>
      </c>
      <c r="D47" s="10">
        <f t="shared" si="0"/>
        <v>2877.8846846950923</v>
      </c>
      <c r="E47" s="10"/>
      <c r="F47" s="10">
        <f t="shared" si="1"/>
        <v>1375839.278080639</v>
      </c>
      <c r="G47" s="10">
        <f t="shared" si="2"/>
        <v>409.1953153049077</v>
      </c>
      <c r="I47" s="37"/>
    </row>
    <row r="48" spans="1:9" ht="12.75">
      <c r="A48" s="44">
        <v>34</v>
      </c>
      <c r="B48" s="46"/>
      <c r="C48" s="10">
        <f t="shared" si="3"/>
        <v>1375839.278080639</v>
      </c>
      <c r="D48" s="10">
        <f t="shared" si="0"/>
        <v>2878.738824298753</v>
      </c>
      <c r="E48" s="10"/>
      <c r="F48" s="10">
        <f t="shared" si="1"/>
        <v>1372960.5392563401</v>
      </c>
      <c r="G48" s="10">
        <f t="shared" si="2"/>
        <v>408.34117570124675</v>
      </c>
      <c r="I48" s="37"/>
    </row>
    <row r="49" spans="1:9" ht="12.75">
      <c r="A49" s="44">
        <v>35</v>
      </c>
      <c r="B49" s="46"/>
      <c r="C49" s="10">
        <f t="shared" si="3"/>
        <v>1372960.5392563401</v>
      </c>
      <c r="D49" s="10">
        <f t="shared" si="0"/>
        <v>2879.5932174061304</v>
      </c>
      <c r="E49" s="10"/>
      <c r="F49" s="10">
        <f t="shared" si="1"/>
        <v>1370080.946038934</v>
      </c>
      <c r="G49" s="10">
        <f t="shared" si="2"/>
        <v>407.48678259386946</v>
      </c>
      <c r="I49" s="37"/>
    </row>
    <row r="50" spans="1:9" ht="12.75">
      <c r="A50" s="44">
        <v>36</v>
      </c>
      <c r="B50" s="46"/>
      <c r="C50" s="10">
        <f t="shared" si="3"/>
        <v>1370080.946038934</v>
      </c>
      <c r="D50" s="10">
        <f t="shared" si="0"/>
        <v>2880.447864092462</v>
      </c>
      <c r="E50" s="10">
        <f>SUM(D39:D50)</f>
        <v>34509.023437956326</v>
      </c>
      <c r="F50" s="10">
        <f t="shared" si="1"/>
        <v>1367200.4981748415</v>
      </c>
      <c r="G50" s="10">
        <f t="shared" si="2"/>
        <v>406.63213590753764</v>
      </c>
      <c r="H50" s="10">
        <f>SUM(G39:G50)</f>
        <v>4935.936562043676</v>
      </c>
      <c r="I50" s="37"/>
    </row>
    <row r="51" spans="1:9" ht="12.75">
      <c r="A51" s="44">
        <v>37</v>
      </c>
      <c r="B51" s="46"/>
      <c r="C51" s="10">
        <f t="shared" si="3"/>
        <v>1367200.4981748415</v>
      </c>
      <c r="D51" s="10">
        <f t="shared" si="0"/>
        <v>2881.30276443301</v>
      </c>
      <c r="E51" s="10"/>
      <c r="F51" s="10">
        <f t="shared" si="1"/>
        <v>1364319.1954104085</v>
      </c>
      <c r="G51" s="10">
        <f t="shared" si="2"/>
        <v>405.77723556698993</v>
      </c>
      <c r="I51" s="37"/>
    </row>
    <row r="52" spans="1:9" ht="12.75">
      <c r="A52" s="44">
        <v>38</v>
      </c>
      <c r="B52" s="46"/>
      <c r="C52" s="10">
        <f t="shared" si="3"/>
        <v>1364319.1954104085</v>
      </c>
      <c r="D52" s="10">
        <f t="shared" si="0"/>
        <v>2882.157918503056</v>
      </c>
      <c r="E52" s="10"/>
      <c r="F52" s="10">
        <f t="shared" si="1"/>
        <v>1361437.0374919055</v>
      </c>
      <c r="G52" s="10">
        <f t="shared" si="2"/>
        <v>404.922081496944</v>
      </c>
      <c r="I52" s="37"/>
    </row>
    <row r="53" spans="1:9" ht="12.75">
      <c r="A53" s="44">
        <v>39</v>
      </c>
      <c r="B53" s="46"/>
      <c r="C53" s="10">
        <f t="shared" si="3"/>
        <v>1361437.0374919055</v>
      </c>
      <c r="D53" s="10">
        <f t="shared" si="0"/>
        <v>2883.013326377906</v>
      </c>
      <c r="E53" s="10"/>
      <c r="F53" s="10">
        <f t="shared" si="1"/>
        <v>1358554.0241655277</v>
      </c>
      <c r="G53" s="10">
        <f t="shared" si="2"/>
        <v>404.0666736220939</v>
      </c>
      <c r="I53" s="37"/>
    </row>
    <row r="54" spans="1:9" ht="12.75">
      <c r="A54" s="44">
        <v>40</v>
      </c>
      <c r="B54" s="46"/>
      <c r="C54" s="10">
        <f t="shared" si="3"/>
        <v>1358554.0241655277</v>
      </c>
      <c r="D54" s="10">
        <f t="shared" si="0"/>
        <v>2883.8689881328874</v>
      </c>
      <c r="E54" s="10"/>
      <c r="F54" s="10">
        <f t="shared" si="1"/>
        <v>1355670.1551773949</v>
      </c>
      <c r="G54" s="10">
        <f t="shared" si="2"/>
        <v>403.21101186711246</v>
      </c>
      <c r="I54" s="37"/>
    </row>
    <row r="55" spans="1:9" ht="12.75">
      <c r="A55" s="44">
        <v>41</v>
      </c>
      <c r="B55" s="46"/>
      <c r="C55" s="10">
        <f t="shared" si="3"/>
        <v>1355670.1551773949</v>
      </c>
      <c r="D55" s="10">
        <f t="shared" si="0"/>
        <v>2884.7249038433515</v>
      </c>
      <c r="E55" s="10"/>
      <c r="F55" s="10">
        <f t="shared" si="1"/>
        <v>1352785.4302735515</v>
      </c>
      <c r="G55" s="10">
        <f t="shared" si="2"/>
        <v>402.3550961566485</v>
      </c>
      <c r="I55" s="37"/>
    </row>
    <row r="56" spans="1:9" ht="12.75">
      <c r="A56" s="44">
        <v>42</v>
      </c>
      <c r="B56" s="46"/>
      <c r="C56" s="10">
        <f t="shared" si="3"/>
        <v>1352785.4302735515</v>
      </c>
      <c r="D56" s="10">
        <f t="shared" si="0"/>
        <v>2885.5810735846703</v>
      </c>
      <c r="E56" s="10"/>
      <c r="F56" s="10">
        <f t="shared" si="1"/>
        <v>1349899.8491999668</v>
      </c>
      <c r="G56" s="10">
        <f t="shared" si="2"/>
        <v>401.49892641532955</v>
      </c>
      <c r="I56" s="37"/>
    </row>
    <row r="57" spans="1:9" ht="12.75">
      <c r="A57" s="44">
        <v>43</v>
      </c>
      <c r="B57" s="46"/>
      <c r="C57" s="10">
        <f t="shared" si="3"/>
        <v>1349899.8491999668</v>
      </c>
      <c r="D57" s="10">
        <f t="shared" si="0"/>
        <v>2886.437497432238</v>
      </c>
      <c r="E57" s="10"/>
      <c r="F57" s="10">
        <f t="shared" si="1"/>
        <v>1347013.4117025344</v>
      </c>
      <c r="G57" s="10">
        <f t="shared" si="2"/>
        <v>400.6425025677619</v>
      </c>
      <c r="I57" s="37"/>
    </row>
    <row r="58" spans="1:13" ht="12.75">
      <c r="A58" s="44">
        <v>44</v>
      </c>
      <c r="B58" s="46"/>
      <c r="C58" s="10">
        <f t="shared" si="3"/>
        <v>1347013.4117025344</v>
      </c>
      <c r="D58" s="10">
        <f t="shared" si="0"/>
        <v>2887.2941754614726</v>
      </c>
      <c r="E58" s="10"/>
      <c r="F58" s="10">
        <f t="shared" si="1"/>
        <v>1344126.117527073</v>
      </c>
      <c r="G58" s="10">
        <f t="shared" si="2"/>
        <v>399.7858245385273</v>
      </c>
      <c r="H58" s="10"/>
      <c r="I58" s="37"/>
      <c r="J58" s="10"/>
      <c r="K58" s="10"/>
      <c r="L58" s="10">
        <f>K58-K46</f>
        <v>0</v>
      </c>
      <c r="M58" s="54" t="e">
        <f>L58/K46</f>
        <v>#DIV/0!</v>
      </c>
    </row>
    <row r="59" spans="1:9" ht="12.75">
      <c r="A59" s="44">
        <v>45</v>
      </c>
      <c r="B59" s="46"/>
      <c r="C59" s="10">
        <f t="shared" si="3"/>
        <v>1344126.117527073</v>
      </c>
      <c r="D59" s="10">
        <f t="shared" si="0"/>
        <v>2888.1511077478135</v>
      </c>
      <c r="E59" s="10"/>
      <c r="F59" s="10">
        <f t="shared" si="1"/>
        <v>1341237.9664193252</v>
      </c>
      <c r="G59" s="10">
        <f t="shared" si="2"/>
        <v>398.92889225218624</v>
      </c>
      <c r="I59" s="37"/>
    </row>
    <row r="60" spans="1:9" ht="12.75">
      <c r="A60" s="44">
        <v>46</v>
      </c>
      <c r="B60" s="46"/>
      <c r="C60" s="10">
        <f t="shared" si="3"/>
        <v>1341237.9664193252</v>
      </c>
      <c r="D60" s="10">
        <f t="shared" si="0"/>
        <v>2889.0082943667226</v>
      </c>
      <c r="E60" s="10"/>
      <c r="F60" s="10">
        <f t="shared" si="1"/>
        <v>1338348.9581249584</v>
      </c>
      <c r="G60" s="10">
        <f t="shared" si="2"/>
        <v>398.07170563327725</v>
      </c>
      <c r="I60" s="37"/>
    </row>
    <row r="61" spans="1:9" ht="12.75">
      <c r="A61" s="44">
        <v>47</v>
      </c>
      <c r="B61" s="46"/>
      <c r="C61" s="10">
        <f t="shared" si="3"/>
        <v>1338348.9581249584</v>
      </c>
      <c r="D61" s="10">
        <f t="shared" si="0"/>
        <v>2889.865735393685</v>
      </c>
      <c r="E61" s="10"/>
      <c r="F61" s="10">
        <f t="shared" si="1"/>
        <v>1335459.0923895647</v>
      </c>
      <c r="G61" s="10">
        <f t="shared" si="2"/>
        <v>397.214264606315</v>
      </c>
      <c r="I61" s="37"/>
    </row>
    <row r="62" spans="1:9" ht="12.75">
      <c r="A62" s="44">
        <v>48</v>
      </c>
      <c r="B62" s="46"/>
      <c r="C62" s="10">
        <f t="shared" si="3"/>
        <v>1335459.0923895647</v>
      </c>
      <c r="D62" s="10">
        <f t="shared" si="0"/>
        <v>2890.7234309042065</v>
      </c>
      <c r="E62" s="10">
        <f>SUM(D51:D62)</f>
        <v>34632.12921618102</v>
      </c>
      <c r="F62" s="10">
        <f t="shared" si="1"/>
        <v>1332568.3689586606</v>
      </c>
      <c r="G62" s="10">
        <f t="shared" si="2"/>
        <v>396.3565690957933</v>
      </c>
      <c r="H62" s="10">
        <f>SUM(G51:G62)</f>
        <v>4812.830783818979</v>
      </c>
      <c r="I62" s="37"/>
    </row>
    <row r="63" spans="1:9" ht="12.75">
      <c r="A63" s="44">
        <v>49</v>
      </c>
      <c r="B63" s="46"/>
      <c r="C63" s="10">
        <f t="shared" si="3"/>
        <v>1332568.3689586606</v>
      </c>
      <c r="D63" s="10">
        <f t="shared" si="0"/>
        <v>2891.5813809738174</v>
      </c>
      <c r="E63" s="10"/>
      <c r="F63" s="10">
        <f t="shared" si="1"/>
        <v>1329676.7875776868</v>
      </c>
      <c r="G63" s="10">
        <f t="shared" si="2"/>
        <v>395.4986190261826</v>
      </c>
      <c r="I63" s="37"/>
    </row>
    <row r="64" spans="1:9" ht="12.75">
      <c r="A64" s="44">
        <v>50</v>
      </c>
      <c r="B64" s="46"/>
      <c r="C64" s="10">
        <f t="shared" si="3"/>
        <v>1329676.7875776868</v>
      </c>
      <c r="D64" s="10">
        <f t="shared" si="0"/>
        <v>2892.439585678069</v>
      </c>
      <c r="E64" s="10"/>
      <c r="F64" s="10">
        <f t="shared" si="1"/>
        <v>1326784.3479920088</v>
      </c>
      <c r="G64" s="10">
        <f t="shared" si="2"/>
        <v>394.6404143219311</v>
      </c>
      <c r="I64" s="37"/>
    </row>
    <row r="65" spans="1:9" ht="12.75">
      <c r="A65" s="44">
        <v>51</v>
      </c>
      <c r="B65" s="46"/>
      <c r="C65" s="10">
        <f t="shared" si="3"/>
        <v>1326784.3479920088</v>
      </c>
      <c r="D65" s="10">
        <f t="shared" si="0"/>
        <v>2893.298045092535</v>
      </c>
      <c r="E65" s="10"/>
      <c r="F65" s="10">
        <f t="shared" si="1"/>
        <v>1323891.0499469163</v>
      </c>
      <c r="G65" s="10">
        <f t="shared" si="2"/>
        <v>393.7819549074648</v>
      </c>
      <c r="I65" s="37"/>
    </row>
    <row r="66" spans="1:9" ht="12.75">
      <c r="A66" s="44">
        <v>52</v>
      </c>
      <c r="B66" s="46"/>
      <c r="C66" s="10">
        <f t="shared" si="3"/>
        <v>1323891.0499469163</v>
      </c>
      <c r="D66" s="10">
        <f t="shared" si="0"/>
        <v>2894.1567592928122</v>
      </c>
      <c r="E66" s="10"/>
      <c r="F66" s="10">
        <f t="shared" si="1"/>
        <v>1320996.8931876235</v>
      </c>
      <c r="G66" s="10">
        <f t="shared" si="2"/>
        <v>392.92324070718774</v>
      </c>
      <c r="I66" s="37"/>
    </row>
    <row r="67" spans="1:9" ht="12.75">
      <c r="A67" s="44">
        <v>53</v>
      </c>
      <c r="B67" s="46"/>
      <c r="C67" s="10">
        <f t="shared" si="3"/>
        <v>1320996.8931876235</v>
      </c>
      <c r="D67" s="10">
        <f t="shared" si="0"/>
        <v>2895.0157283545204</v>
      </c>
      <c r="E67" s="10"/>
      <c r="F67" s="10">
        <f t="shared" si="1"/>
        <v>1318101.877459269</v>
      </c>
      <c r="G67" s="10">
        <f t="shared" si="2"/>
        <v>392.0642716454795</v>
      </c>
      <c r="I67" s="37"/>
    </row>
    <row r="68" spans="1:9" ht="12.75">
      <c r="A68" s="44">
        <v>54</v>
      </c>
      <c r="B68" s="46"/>
      <c r="C68" s="10">
        <f t="shared" si="3"/>
        <v>1318101.877459269</v>
      </c>
      <c r="D68" s="10">
        <f t="shared" si="0"/>
        <v>2895.8749523532992</v>
      </c>
      <c r="E68" s="10"/>
      <c r="F68" s="10">
        <f t="shared" si="1"/>
        <v>1315206.0025069157</v>
      </c>
      <c r="G68" s="10">
        <f t="shared" si="2"/>
        <v>391.2050476467006</v>
      </c>
      <c r="I68" s="37"/>
    </row>
    <row r="69" spans="1:9" ht="12.75">
      <c r="A69" s="44">
        <v>55</v>
      </c>
      <c r="B69" s="46"/>
      <c r="C69" s="10">
        <f t="shared" si="3"/>
        <v>1315206.0025069157</v>
      </c>
      <c r="D69" s="10">
        <f t="shared" si="0"/>
        <v>2896.734431364814</v>
      </c>
      <c r="E69" s="10"/>
      <c r="F69" s="10">
        <f t="shared" si="1"/>
        <v>1312309.268075551</v>
      </c>
      <c r="G69" s="10">
        <f t="shared" si="2"/>
        <v>390.3455686351858</v>
      </c>
      <c r="I69" s="37"/>
    </row>
    <row r="70" spans="1:13" ht="12.75">
      <c r="A70" s="44">
        <v>56</v>
      </c>
      <c r="B70" s="46"/>
      <c r="C70" s="10">
        <f t="shared" si="3"/>
        <v>1312309.268075551</v>
      </c>
      <c r="D70" s="10">
        <f t="shared" si="0"/>
        <v>2897.59416546475</v>
      </c>
      <c r="E70" s="10"/>
      <c r="F70" s="10">
        <f t="shared" si="1"/>
        <v>1309411.673910086</v>
      </c>
      <c r="G70" s="10">
        <f t="shared" si="2"/>
        <v>389.48583453524986</v>
      </c>
      <c r="H70" s="10"/>
      <c r="I70" s="37"/>
      <c r="J70" s="10"/>
      <c r="K70" s="10"/>
      <c r="L70" s="10">
        <f>K70-K58</f>
        <v>0</v>
      </c>
      <c r="M70" s="54" t="e">
        <f>L70/K58</f>
        <v>#DIV/0!</v>
      </c>
    </row>
    <row r="71" spans="1:9" ht="12.75">
      <c r="A71" s="44">
        <v>57</v>
      </c>
      <c r="B71" s="46"/>
      <c r="C71" s="10">
        <f t="shared" si="3"/>
        <v>1309411.673910086</v>
      </c>
      <c r="D71" s="10">
        <f t="shared" si="0"/>
        <v>2898.4541547288172</v>
      </c>
      <c r="E71" s="10"/>
      <c r="F71" s="10">
        <f t="shared" si="1"/>
        <v>1306513.2197553571</v>
      </c>
      <c r="G71" s="10">
        <f t="shared" si="2"/>
        <v>388.62584527118264</v>
      </c>
      <c r="I71" s="37"/>
    </row>
    <row r="72" spans="1:9" ht="12.75">
      <c r="A72" s="44">
        <v>58</v>
      </c>
      <c r="B72" s="46"/>
      <c r="C72" s="10">
        <f t="shared" si="3"/>
        <v>1306513.2197553571</v>
      </c>
      <c r="D72" s="10">
        <f t="shared" si="0"/>
        <v>2899.314399232746</v>
      </c>
      <c r="E72" s="10"/>
      <c r="F72" s="10">
        <f t="shared" si="1"/>
        <v>1303613.9053561243</v>
      </c>
      <c r="G72" s="10">
        <f t="shared" si="2"/>
        <v>387.76560076725394</v>
      </c>
      <c r="I72" s="37"/>
    </row>
    <row r="73" spans="1:9" ht="12.75">
      <c r="A73" s="44">
        <v>59</v>
      </c>
      <c r="B73" s="46"/>
      <c r="C73" s="10">
        <f t="shared" si="3"/>
        <v>1303613.9053561243</v>
      </c>
      <c r="D73" s="10">
        <f t="shared" si="0"/>
        <v>2900.17489905229</v>
      </c>
      <c r="E73" s="10"/>
      <c r="F73" s="10">
        <f t="shared" si="1"/>
        <v>1300713.730457072</v>
      </c>
      <c r="G73" s="10">
        <f t="shared" si="2"/>
        <v>386.90510094770997</v>
      </c>
      <c r="I73" s="37"/>
    </row>
    <row r="74" spans="1:9" ht="12.75">
      <c r="A74" s="44">
        <v>60</v>
      </c>
      <c r="B74" s="46"/>
      <c r="C74" s="10">
        <f t="shared" si="3"/>
        <v>1300713.730457072</v>
      </c>
      <c r="D74" s="10">
        <f t="shared" si="0"/>
        <v>2901.0356542632258</v>
      </c>
      <c r="E74" s="10">
        <f>SUM(D63:D74)</f>
        <v>34755.674155851695</v>
      </c>
      <c r="F74" s="10">
        <f t="shared" si="1"/>
        <v>1297812.6948028086</v>
      </c>
      <c r="G74" s="10">
        <f t="shared" si="2"/>
        <v>386.04434573677435</v>
      </c>
      <c r="H74" s="10">
        <f>SUM(G63:G74)</f>
        <v>4689.285844148303</v>
      </c>
      <c r="I74" s="37"/>
    </row>
    <row r="75" spans="1:9" ht="12.75">
      <c r="A75" s="44">
        <v>61</v>
      </c>
      <c r="B75" s="46"/>
      <c r="C75" s="10">
        <f t="shared" si="3"/>
        <v>1297812.6948028086</v>
      </c>
      <c r="D75" s="10">
        <f t="shared" si="0"/>
        <v>2901.8966649413524</v>
      </c>
      <c r="E75" s="10"/>
      <c r="F75" s="10">
        <f t="shared" si="1"/>
        <v>1294910.7981378671</v>
      </c>
      <c r="G75" s="10">
        <f t="shared" si="2"/>
        <v>385.1833350586477</v>
      </c>
      <c r="I75" s="37"/>
    </row>
    <row r="76" spans="1:9" ht="12.75">
      <c r="A76" s="44">
        <v>62</v>
      </c>
      <c r="B76" s="46"/>
      <c r="C76" s="10">
        <f t="shared" si="3"/>
        <v>1294910.7981378671</v>
      </c>
      <c r="D76" s="10">
        <f t="shared" si="0"/>
        <v>2902.7579311624895</v>
      </c>
      <c r="E76" s="10"/>
      <c r="F76" s="10">
        <f t="shared" si="1"/>
        <v>1292008.0402067045</v>
      </c>
      <c r="G76" s="10">
        <f t="shared" si="2"/>
        <v>384.3220688375105</v>
      </c>
      <c r="I76" s="37"/>
    </row>
    <row r="77" spans="1:9" ht="12.75">
      <c r="A77" s="44">
        <v>63</v>
      </c>
      <c r="B77" s="46"/>
      <c r="C77" s="10">
        <f t="shared" si="3"/>
        <v>1292008.0402067045</v>
      </c>
      <c r="D77" s="10">
        <f t="shared" si="0"/>
        <v>2903.619453002483</v>
      </c>
      <c r="E77" s="10"/>
      <c r="F77" s="10">
        <f t="shared" si="1"/>
        <v>1289104.420753702</v>
      </c>
      <c r="G77" s="10">
        <f t="shared" si="2"/>
        <v>383.4605469975167</v>
      </c>
      <c r="I77" s="37"/>
    </row>
    <row r="78" spans="1:9" ht="12.75">
      <c r="A78" s="44">
        <v>64</v>
      </c>
      <c r="B78" s="46"/>
      <c r="C78" s="10">
        <f t="shared" si="3"/>
        <v>1289104.420753702</v>
      </c>
      <c r="D78" s="10">
        <f t="shared" si="0"/>
        <v>2904.4812305371975</v>
      </c>
      <c r="E78" s="10"/>
      <c r="F78" s="10">
        <f t="shared" si="1"/>
        <v>1286199.9395231649</v>
      </c>
      <c r="G78" s="10">
        <f t="shared" si="2"/>
        <v>382.5987694628025</v>
      </c>
      <c r="I78" s="37"/>
    </row>
    <row r="79" spans="1:9" ht="12.75">
      <c r="A79" s="44">
        <v>65</v>
      </c>
      <c r="B79" s="46"/>
      <c r="C79" s="10">
        <f t="shared" si="3"/>
        <v>1286199.9395231649</v>
      </c>
      <c r="D79" s="10">
        <f aca="true" t="shared" si="4" ref="D79:D142">-PPMT($C$6/12,A79,$C$7,$C$5)</f>
        <v>2905.3432638425224</v>
      </c>
      <c r="E79" s="10"/>
      <c r="F79" s="10">
        <f aca="true" t="shared" si="5" ref="F79:F142">C79-D79</f>
        <v>1283294.5962593223</v>
      </c>
      <c r="G79" s="10">
        <f aca="true" t="shared" si="6" ref="G79:G142">-IPMT($C$6/12,A79,$C$7,$C$5)</f>
        <v>381.7367361574773</v>
      </c>
      <c r="I79" s="37"/>
    </row>
    <row r="80" spans="1:9" ht="12.75">
      <c r="A80" s="44">
        <v>66</v>
      </c>
      <c r="B80" s="46"/>
      <c r="C80" s="10">
        <f aca="true" t="shared" si="7" ref="C80:C143">F79</f>
        <v>1283294.5962593223</v>
      </c>
      <c r="D80" s="10">
        <f t="shared" si="4"/>
        <v>2906.2055529943696</v>
      </c>
      <c r="E80" s="10"/>
      <c r="F80" s="10">
        <f t="shared" si="5"/>
        <v>1280388.390706328</v>
      </c>
      <c r="G80" s="10">
        <f t="shared" si="6"/>
        <v>380.8744470056305</v>
      </c>
      <c r="I80" s="37"/>
    </row>
    <row r="81" spans="1:9" ht="12.75">
      <c r="A81" s="44">
        <v>67</v>
      </c>
      <c r="B81" s="46"/>
      <c r="C81" s="10">
        <f t="shared" si="7"/>
        <v>1280388.390706328</v>
      </c>
      <c r="D81" s="10">
        <f t="shared" si="4"/>
        <v>2907.0680980686707</v>
      </c>
      <c r="E81" s="10"/>
      <c r="F81" s="10">
        <f t="shared" si="5"/>
        <v>1277481.3226082593</v>
      </c>
      <c r="G81" s="10">
        <f t="shared" si="6"/>
        <v>380.01190193132925</v>
      </c>
      <c r="I81" s="37"/>
    </row>
    <row r="82" spans="1:13" ht="12.75">
      <c r="A82" s="44">
        <v>68</v>
      </c>
      <c r="B82" s="46"/>
      <c r="C82" s="10">
        <f t="shared" si="7"/>
        <v>1277481.3226082593</v>
      </c>
      <c r="D82" s="10">
        <f t="shared" si="4"/>
        <v>2907.9308991413836</v>
      </c>
      <c r="E82" s="10"/>
      <c r="F82" s="10">
        <f t="shared" si="5"/>
        <v>1274573.391709118</v>
      </c>
      <c r="G82" s="10">
        <f t="shared" si="6"/>
        <v>379.1491008586161</v>
      </c>
      <c r="H82" s="10"/>
      <c r="I82" s="37"/>
      <c r="J82" s="10"/>
      <c r="K82" s="10"/>
      <c r="L82" s="10">
        <f>K82-K70</f>
        <v>0</v>
      </c>
      <c r="M82" s="54" t="e">
        <f>L82/K70</f>
        <v>#DIV/0!</v>
      </c>
    </row>
    <row r="83" spans="1:9" ht="12.75">
      <c r="A83" s="44">
        <v>69</v>
      </c>
      <c r="B83" s="46"/>
      <c r="C83" s="10">
        <f t="shared" si="7"/>
        <v>1274573.391709118</v>
      </c>
      <c r="D83" s="10">
        <f t="shared" si="4"/>
        <v>2908.793956288487</v>
      </c>
      <c r="E83" s="10"/>
      <c r="F83" s="10">
        <f t="shared" si="5"/>
        <v>1271664.5977528293</v>
      </c>
      <c r="G83" s="10">
        <f t="shared" si="6"/>
        <v>378.2860437115126</v>
      </c>
      <c r="I83" s="37"/>
    </row>
    <row r="84" spans="1:9" ht="12.75">
      <c r="A84" s="44">
        <v>70</v>
      </c>
      <c r="B84" s="46"/>
      <c r="C84" s="10">
        <f t="shared" si="7"/>
        <v>1271664.5977528293</v>
      </c>
      <c r="D84" s="10">
        <f t="shared" si="4"/>
        <v>2909.657269585983</v>
      </c>
      <c r="E84" s="10"/>
      <c r="F84" s="10">
        <f t="shared" si="5"/>
        <v>1268754.9404832434</v>
      </c>
      <c r="G84" s="10">
        <f t="shared" si="6"/>
        <v>377.4227304140168</v>
      </c>
      <c r="I84" s="37"/>
    </row>
    <row r="85" spans="1:9" ht="12.75">
      <c r="A85" s="44">
        <v>71</v>
      </c>
      <c r="B85" s="46"/>
      <c r="C85" s="10">
        <f t="shared" si="7"/>
        <v>1268754.9404832434</v>
      </c>
      <c r="D85" s="10">
        <f t="shared" si="4"/>
        <v>2910.5208391098936</v>
      </c>
      <c r="E85" s="10"/>
      <c r="F85" s="10">
        <f t="shared" si="5"/>
        <v>1265844.4196441337</v>
      </c>
      <c r="G85" s="10">
        <f t="shared" si="6"/>
        <v>376.55916089010617</v>
      </c>
      <c r="I85" s="37"/>
    </row>
    <row r="86" spans="1:9" ht="12.75">
      <c r="A86" s="44">
        <v>72</v>
      </c>
      <c r="B86" s="46"/>
      <c r="C86" s="10">
        <f t="shared" si="7"/>
        <v>1265844.4196441337</v>
      </c>
      <c r="D86" s="10">
        <f t="shared" si="4"/>
        <v>2911.384664936267</v>
      </c>
      <c r="E86" s="10">
        <f>SUM(D75:D86)</f>
        <v>34879.659823611095</v>
      </c>
      <c r="F86" s="10">
        <f t="shared" si="5"/>
        <v>1262933.0349791974</v>
      </c>
      <c r="G86" s="10">
        <f t="shared" si="6"/>
        <v>375.69533506373256</v>
      </c>
      <c r="H86" s="10">
        <f>SUM(G75:G86)</f>
        <v>4565.300176388899</v>
      </c>
      <c r="I86" s="37"/>
    </row>
    <row r="87" spans="1:9" ht="12.75">
      <c r="A87" s="44">
        <v>73</v>
      </c>
      <c r="B87" s="46"/>
      <c r="C87" s="10">
        <f t="shared" si="7"/>
        <v>1262933.0349791974</v>
      </c>
      <c r="D87" s="10">
        <f t="shared" si="4"/>
        <v>2912.2487471411723</v>
      </c>
      <c r="E87" s="10"/>
      <c r="F87" s="10">
        <f t="shared" si="5"/>
        <v>1260020.7862320563</v>
      </c>
      <c r="G87" s="10">
        <f t="shared" si="6"/>
        <v>374.8312528588277</v>
      </c>
      <c r="I87" s="37"/>
    </row>
    <row r="88" spans="1:9" ht="12.75">
      <c r="A88" s="44">
        <v>74</v>
      </c>
      <c r="B88" s="46"/>
      <c r="C88" s="10">
        <f t="shared" si="7"/>
        <v>1260020.7862320563</v>
      </c>
      <c r="D88" s="10">
        <f t="shared" si="4"/>
        <v>2913.1130858007004</v>
      </c>
      <c r="E88" s="10"/>
      <c r="F88" s="10">
        <f t="shared" si="5"/>
        <v>1257107.6731462555</v>
      </c>
      <c r="G88" s="10">
        <f t="shared" si="6"/>
        <v>373.9669141992993</v>
      </c>
      <c r="I88" s="37"/>
    </row>
    <row r="89" spans="1:9" ht="12.75">
      <c r="A89" s="44">
        <v>75</v>
      </c>
      <c r="B89" s="46"/>
      <c r="C89" s="10">
        <f t="shared" si="7"/>
        <v>1257107.6731462555</v>
      </c>
      <c r="D89" s="10">
        <f t="shared" si="4"/>
        <v>2913.9776809909654</v>
      </c>
      <c r="E89" s="10"/>
      <c r="F89" s="10">
        <f t="shared" si="5"/>
        <v>1254193.6954652646</v>
      </c>
      <c r="G89" s="10">
        <f t="shared" si="6"/>
        <v>373.10231900903466</v>
      </c>
      <c r="I89" s="37"/>
    </row>
    <row r="90" spans="1:9" ht="12.75">
      <c r="A90" s="44">
        <v>76</v>
      </c>
      <c r="B90" s="46"/>
      <c r="C90" s="10">
        <f t="shared" si="7"/>
        <v>1254193.6954652646</v>
      </c>
      <c r="D90" s="10">
        <f t="shared" si="4"/>
        <v>2914.8425327881055</v>
      </c>
      <c r="E90" s="10"/>
      <c r="F90" s="10">
        <f t="shared" si="5"/>
        <v>1251278.8529324764</v>
      </c>
      <c r="G90" s="10">
        <f t="shared" si="6"/>
        <v>372.2374672118946</v>
      </c>
      <c r="I90" s="37"/>
    </row>
    <row r="91" spans="1:9" ht="12.75">
      <c r="A91" s="44">
        <v>77</v>
      </c>
      <c r="B91" s="46"/>
      <c r="C91" s="10">
        <f t="shared" si="7"/>
        <v>1251278.8529324764</v>
      </c>
      <c r="D91" s="10">
        <f t="shared" si="4"/>
        <v>2915.707641268278</v>
      </c>
      <c r="E91" s="10"/>
      <c r="F91" s="10">
        <f t="shared" si="5"/>
        <v>1248363.145291208</v>
      </c>
      <c r="G91" s="10">
        <f t="shared" si="6"/>
        <v>371.3723587317216</v>
      </c>
      <c r="I91" s="37"/>
    </row>
    <row r="92" spans="1:9" ht="12.75">
      <c r="A92" s="44">
        <v>78</v>
      </c>
      <c r="B92" s="46"/>
      <c r="C92" s="10">
        <f t="shared" si="7"/>
        <v>1248363.145291208</v>
      </c>
      <c r="D92" s="10">
        <f t="shared" si="4"/>
        <v>2916.573006507667</v>
      </c>
      <c r="E92" s="10"/>
      <c r="F92" s="10">
        <f t="shared" si="5"/>
        <v>1245446.5722847003</v>
      </c>
      <c r="G92" s="10">
        <f t="shared" si="6"/>
        <v>370.5069934923333</v>
      </c>
      <c r="I92" s="37"/>
    </row>
    <row r="93" spans="1:9" ht="12.75">
      <c r="A93" s="44">
        <v>79</v>
      </c>
      <c r="B93" s="46"/>
      <c r="C93" s="10">
        <f t="shared" si="7"/>
        <v>1245446.5722847003</v>
      </c>
      <c r="D93" s="10">
        <f t="shared" si="4"/>
        <v>2917.4386285824758</v>
      </c>
      <c r="E93" s="10"/>
      <c r="F93" s="10">
        <f t="shared" si="5"/>
        <v>1242529.1336561178</v>
      </c>
      <c r="G93" s="10">
        <f t="shared" si="6"/>
        <v>369.6413714175244</v>
      </c>
      <c r="I93" s="37"/>
    </row>
    <row r="94" spans="1:13" ht="12.75">
      <c r="A94" s="44">
        <v>80</v>
      </c>
      <c r="B94" s="46"/>
      <c r="C94" s="10">
        <f t="shared" si="7"/>
        <v>1242529.1336561178</v>
      </c>
      <c r="D94" s="10">
        <f t="shared" si="4"/>
        <v>2918.304507568932</v>
      </c>
      <c r="E94" s="10"/>
      <c r="F94" s="10">
        <f t="shared" si="5"/>
        <v>1239610.829148549</v>
      </c>
      <c r="G94" s="10">
        <f t="shared" si="6"/>
        <v>368.77549243106813</v>
      </c>
      <c r="H94" s="10"/>
      <c r="I94" s="37"/>
      <c r="J94" s="10"/>
      <c r="K94" s="10"/>
      <c r="L94" s="10">
        <f>K94-K82</f>
        <v>0</v>
      </c>
      <c r="M94" s="54" t="e">
        <f>L94/K82</f>
        <v>#DIV/0!</v>
      </c>
    </row>
    <row r="95" spans="1:9" ht="12.75">
      <c r="A95" s="44">
        <v>81</v>
      </c>
      <c r="B95" s="46"/>
      <c r="C95" s="10">
        <f t="shared" si="7"/>
        <v>1239610.829148549</v>
      </c>
      <c r="D95" s="10">
        <f t="shared" si="4"/>
        <v>2919.170643543286</v>
      </c>
      <c r="E95" s="10"/>
      <c r="F95" s="10">
        <f t="shared" si="5"/>
        <v>1236691.6585050055</v>
      </c>
      <c r="G95" s="10">
        <f t="shared" si="6"/>
        <v>367.9093564567138</v>
      </c>
      <c r="I95" s="37"/>
    </row>
    <row r="96" spans="1:9" ht="12.75">
      <c r="A96" s="44">
        <v>82</v>
      </c>
      <c r="B96" s="46"/>
      <c r="C96" s="10">
        <f t="shared" si="7"/>
        <v>1236691.6585050055</v>
      </c>
      <c r="D96" s="10">
        <f t="shared" si="4"/>
        <v>2920.03703658181</v>
      </c>
      <c r="E96" s="10"/>
      <c r="F96" s="10">
        <f t="shared" si="5"/>
        <v>1233771.6214684236</v>
      </c>
      <c r="G96" s="10">
        <f t="shared" si="6"/>
        <v>367.04296341819</v>
      </c>
      <c r="I96" s="37"/>
    </row>
    <row r="97" spans="1:9" ht="12.75">
      <c r="A97" s="44">
        <v>83</v>
      </c>
      <c r="B97" s="46"/>
      <c r="C97" s="10">
        <f t="shared" si="7"/>
        <v>1233771.6214684236</v>
      </c>
      <c r="D97" s="10">
        <f t="shared" si="4"/>
        <v>2920.9036867607992</v>
      </c>
      <c r="E97" s="10"/>
      <c r="F97" s="10">
        <f t="shared" si="5"/>
        <v>1230850.717781663</v>
      </c>
      <c r="G97" s="10">
        <f t="shared" si="6"/>
        <v>366.17631323920074</v>
      </c>
      <c r="I97" s="37"/>
    </row>
    <row r="98" spans="1:9" ht="12.75">
      <c r="A98" s="44">
        <v>84</v>
      </c>
      <c r="B98" s="46"/>
      <c r="C98" s="10">
        <f t="shared" si="7"/>
        <v>1230850.717781663</v>
      </c>
      <c r="D98" s="10">
        <f t="shared" si="4"/>
        <v>2921.770594156572</v>
      </c>
      <c r="E98" s="10">
        <f>SUM(D87:D98)</f>
        <v>35004.08779169076</v>
      </c>
      <c r="F98" s="10">
        <f t="shared" si="5"/>
        <v>1227928.9471875064</v>
      </c>
      <c r="G98" s="10">
        <f t="shared" si="6"/>
        <v>365.3094058434281</v>
      </c>
      <c r="H98" s="10">
        <f>SUM(G87:G98)</f>
        <v>4440.872208309236</v>
      </c>
      <c r="I98" s="37"/>
    </row>
    <row r="99" spans="1:9" ht="12.75">
      <c r="A99" s="44">
        <v>85</v>
      </c>
      <c r="B99" s="46"/>
      <c r="C99" s="10">
        <f t="shared" si="7"/>
        <v>1227928.9471875064</v>
      </c>
      <c r="D99" s="10">
        <f t="shared" si="4"/>
        <v>2922.6377588454675</v>
      </c>
      <c r="E99" s="10"/>
      <c r="F99" s="10">
        <f t="shared" si="5"/>
        <v>1225006.309428661</v>
      </c>
      <c r="G99" s="10">
        <f t="shared" si="6"/>
        <v>364.4422411545323</v>
      </c>
      <c r="I99" s="37"/>
    </row>
    <row r="100" spans="1:9" ht="12.75">
      <c r="A100" s="44">
        <v>86</v>
      </c>
      <c r="B100" s="46"/>
      <c r="C100" s="10">
        <f t="shared" si="7"/>
        <v>1225006.309428661</v>
      </c>
      <c r="D100" s="10">
        <f t="shared" si="4"/>
        <v>2923.5051809038496</v>
      </c>
      <c r="E100" s="10"/>
      <c r="F100" s="10">
        <f t="shared" si="5"/>
        <v>1222082.804247757</v>
      </c>
      <c r="G100" s="10">
        <f t="shared" si="6"/>
        <v>363.57481909615024</v>
      </c>
      <c r="I100" s="37"/>
    </row>
    <row r="101" spans="1:9" ht="12.75">
      <c r="A101" s="44">
        <v>87</v>
      </c>
      <c r="B101" s="46"/>
      <c r="C101" s="10">
        <f t="shared" si="7"/>
        <v>1222082.804247757</v>
      </c>
      <c r="D101" s="10">
        <f t="shared" si="4"/>
        <v>2924.3728604081043</v>
      </c>
      <c r="E101" s="10"/>
      <c r="F101" s="10">
        <f t="shared" si="5"/>
        <v>1219158.4313873488</v>
      </c>
      <c r="G101" s="10">
        <f t="shared" si="6"/>
        <v>362.7071395918956</v>
      </c>
      <c r="I101" s="37"/>
    </row>
    <row r="102" spans="1:9" ht="12.75">
      <c r="A102" s="44">
        <v>88</v>
      </c>
      <c r="B102" s="46"/>
      <c r="C102" s="10">
        <f t="shared" si="7"/>
        <v>1219158.4313873488</v>
      </c>
      <c r="D102" s="10">
        <f t="shared" si="4"/>
        <v>2925.2407974346397</v>
      </c>
      <c r="E102" s="10"/>
      <c r="F102" s="10">
        <f t="shared" si="5"/>
        <v>1216233.190589914</v>
      </c>
      <c r="G102" s="10">
        <f t="shared" si="6"/>
        <v>361.83920256536044</v>
      </c>
      <c r="I102" s="37"/>
    </row>
    <row r="103" spans="1:9" ht="12.75">
      <c r="A103" s="44">
        <v>89</v>
      </c>
      <c r="B103" s="46"/>
      <c r="C103" s="10">
        <f t="shared" si="7"/>
        <v>1216233.190589914</v>
      </c>
      <c r="D103" s="10">
        <f t="shared" si="4"/>
        <v>2926.108992059887</v>
      </c>
      <c r="E103" s="10"/>
      <c r="F103" s="10">
        <f t="shared" si="5"/>
        <v>1213307.0815978542</v>
      </c>
      <c r="G103" s="10">
        <f t="shared" si="6"/>
        <v>360.9710079401129</v>
      </c>
      <c r="I103" s="37"/>
    </row>
    <row r="104" spans="1:9" ht="12.75">
      <c r="A104" s="44">
        <v>90</v>
      </c>
      <c r="B104" s="46"/>
      <c r="C104" s="10">
        <f t="shared" si="7"/>
        <v>1213307.0815978542</v>
      </c>
      <c r="D104" s="10">
        <f t="shared" si="4"/>
        <v>2926.9774443603</v>
      </c>
      <c r="E104" s="10"/>
      <c r="F104" s="10">
        <f t="shared" si="5"/>
        <v>1210380.104153494</v>
      </c>
      <c r="G104" s="10">
        <f t="shared" si="6"/>
        <v>360.1025556397</v>
      </c>
      <c r="I104" s="37"/>
    </row>
    <row r="105" spans="1:9" ht="12.75">
      <c r="A105" s="44">
        <v>91</v>
      </c>
      <c r="B105" s="46"/>
      <c r="C105" s="10">
        <f t="shared" si="7"/>
        <v>1210380.104153494</v>
      </c>
      <c r="D105" s="10">
        <f t="shared" si="4"/>
        <v>2927.8461544123547</v>
      </c>
      <c r="E105" s="10"/>
      <c r="F105" s="10">
        <f t="shared" si="5"/>
        <v>1207452.2579990816</v>
      </c>
      <c r="G105" s="10">
        <f t="shared" si="6"/>
        <v>359.233845587645</v>
      </c>
      <c r="I105" s="37"/>
    </row>
    <row r="106" spans="1:13" ht="12.75">
      <c r="A106" s="44">
        <v>92</v>
      </c>
      <c r="B106" s="46"/>
      <c r="C106" s="10">
        <f t="shared" si="7"/>
        <v>1207452.2579990816</v>
      </c>
      <c r="D106" s="10">
        <f t="shared" si="4"/>
        <v>2928.7151222925518</v>
      </c>
      <c r="E106" s="10"/>
      <c r="F106" s="10">
        <f t="shared" si="5"/>
        <v>1204523.542876789</v>
      </c>
      <c r="G106" s="10">
        <f t="shared" si="6"/>
        <v>358.36487770744816</v>
      </c>
      <c r="H106" s="10"/>
      <c r="I106" s="37"/>
      <c r="J106" s="10"/>
      <c r="K106" s="10"/>
      <c r="L106" s="10">
        <f>K106-K94</f>
        <v>0</v>
      </c>
      <c r="M106" s="54" t="e">
        <f>L106/K94</f>
        <v>#DIV/0!</v>
      </c>
    </row>
    <row r="107" spans="1:9" ht="12.75">
      <c r="A107" s="44">
        <v>93</v>
      </c>
      <c r="B107" s="46"/>
      <c r="C107" s="10">
        <f t="shared" si="7"/>
        <v>1204523.542876789</v>
      </c>
      <c r="D107" s="10">
        <f t="shared" si="4"/>
        <v>2929.584348077412</v>
      </c>
      <c r="E107" s="10"/>
      <c r="F107" s="10">
        <f t="shared" si="5"/>
        <v>1201593.9585287117</v>
      </c>
      <c r="G107" s="10">
        <f t="shared" si="6"/>
        <v>357.4956519225878</v>
      </c>
      <c r="I107" s="37"/>
    </row>
    <row r="108" spans="1:9" ht="12.75">
      <c r="A108" s="44">
        <v>94</v>
      </c>
      <c r="B108" s="46"/>
      <c r="C108" s="10">
        <f t="shared" si="7"/>
        <v>1201593.9585287117</v>
      </c>
      <c r="D108" s="10">
        <f t="shared" si="4"/>
        <v>2930.4538318434793</v>
      </c>
      <c r="E108" s="10"/>
      <c r="F108" s="10">
        <f t="shared" si="5"/>
        <v>1198663.5046968681</v>
      </c>
      <c r="G108" s="10">
        <f t="shared" si="6"/>
        <v>356.6261681565208</v>
      </c>
      <c r="I108" s="37"/>
    </row>
    <row r="109" spans="1:9" ht="12.75">
      <c r="A109" s="44">
        <v>95</v>
      </c>
      <c r="B109" s="46"/>
      <c r="C109" s="10">
        <f t="shared" si="7"/>
        <v>1198663.5046968681</v>
      </c>
      <c r="D109" s="10">
        <f t="shared" si="4"/>
        <v>2931.323573667323</v>
      </c>
      <c r="E109" s="10"/>
      <c r="F109" s="10">
        <f t="shared" si="5"/>
        <v>1195732.1811232008</v>
      </c>
      <c r="G109" s="10">
        <f t="shared" si="6"/>
        <v>355.7564263326766</v>
      </c>
      <c r="I109" s="37"/>
    </row>
    <row r="110" spans="1:9" ht="12.75">
      <c r="A110" s="44">
        <v>96</v>
      </c>
      <c r="B110" s="46"/>
      <c r="C110" s="10">
        <f t="shared" si="7"/>
        <v>1195732.1811232008</v>
      </c>
      <c r="D110" s="10">
        <f t="shared" si="4"/>
        <v>2932.193573625532</v>
      </c>
      <c r="E110" s="10">
        <f>SUM(D99:D110)</f>
        <v>35128.95963793091</v>
      </c>
      <c r="F110" s="10">
        <f t="shared" si="5"/>
        <v>1192799.9875495753</v>
      </c>
      <c r="G110" s="10">
        <f t="shared" si="6"/>
        <v>354.8864263744682</v>
      </c>
      <c r="H110" s="10">
        <f>SUM(G99:G110)</f>
        <v>4316.000362069099</v>
      </c>
      <c r="I110" s="37"/>
    </row>
    <row r="111" spans="1:9" ht="12.75">
      <c r="A111" s="44">
        <v>97</v>
      </c>
      <c r="B111" s="46"/>
      <c r="C111" s="10">
        <f t="shared" si="7"/>
        <v>1192799.9875495753</v>
      </c>
      <c r="D111" s="10">
        <f t="shared" si="4"/>
        <v>2933.0638317947187</v>
      </c>
      <c r="E111" s="10"/>
      <c r="F111" s="10">
        <f t="shared" si="5"/>
        <v>1189866.9237177805</v>
      </c>
      <c r="G111" s="10">
        <f t="shared" si="6"/>
        <v>354.01616820528113</v>
      </c>
      <c r="I111" s="37"/>
    </row>
    <row r="112" spans="1:9" ht="12.75">
      <c r="A112" s="44">
        <v>98</v>
      </c>
      <c r="B112" s="46"/>
      <c r="C112" s="10">
        <f t="shared" si="7"/>
        <v>1189866.9237177805</v>
      </c>
      <c r="D112" s="10">
        <f t="shared" si="4"/>
        <v>2933.934348251519</v>
      </c>
      <c r="E112" s="10"/>
      <c r="F112" s="10">
        <f t="shared" si="5"/>
        <v>1186932.989369529</v>
      </c>
      <c r="G112" s="10">
        <f t="shared" si="6"/>
        <v>353.1456517484806</v>
      </c>
      <c r="I112" s="37"/>
    </row>
    <row r="113" spans="1:9" ht="12.75">
      <c r="A113" s="44">
        <v>99</v>
      </c>
      <c r="B113" s="46"/>
      <c r="C113" s="10">
        <f t="shared" si="7"/>
        <v>1186932.989369529</v>
      </c>
      <c r="D113" s="10">
        <f t="shared" si="4"/>
        <v>2934.8051230725914</v>
      </c>
      <c r="E113" s="10"/>
      <c r="F113" s="10">
        <f t="shared" si="5"/>
        <v>1183998.1842464565</v>
      </c>
      <c r="G113" s="10">
        <f t="shared" si="6"/>
        <v>352.2748769274084</v>
      </c>
      <c r="I113" s="37"/>
    </row>
    <row r="114" spans="1:9" ht="12.75">
      <c r="A114" s="44">
        <v>100</v>
      </c>
      <c r="B114" s="46"/>
      <c r="C114" s="10">
        <f t="shared" si="7"/>
        <v>1183998.1842464565</v>
      </c>
      <c r="D114" s="10">
        <f t="shared" si="4"/>
        <v>2935.676156334617</v>
      </c>
      <c r="E114" s="10"/>
      <c r="F114" s="10">
        <f t="shared" si="5"/>
        <v>1181062.508090122</v>
      </c>
      <c r="G114" s="10">
        <f t="shared" si="6"/>
        <v>351.40384366538296</v>
      </c>
      <c r="I114" s="37"/>
    </row>
    <row r="115" spans="1:9" ht="12.75">
      <c r="A115" s="44">
        <v>101</v>
      </c>
      <c r="B115" s="46"/>
      <c r="C115" s="10">
        <f t="shared" si="7"/>
        <v>1181062.508090122</v>
      </c>
      <c r="D115" s="10">
        <f t="shared" si="4"/>
        <v>2936.5474481142996</v>
      </c>
      <c r="E115" s="10"/>
      <c r="F115" s="10">
        <f t="shared" si="5"/>
        <v>1178125.9606420076</v>
      </c>
      <c r="G115" s="10">
        <f t="shared" si="6"/>
        <v>350.5325518857002</v>
      </c>
      <c r="I115" s="37"/>
    </row>
    <row r="116" spans="1:9" ht="12.75">
      <c r="A116" s="44">
        <v>102</v>
      </c>
      <c r="B116" s="46"/>
      <c r="C116" s="10">
        <f t="shared" si="7"/>
        <v>1178125.9606420076</v>
      </c>
      <c r="D116" s="10">
        <f t="shared" si="4"/>
        <v>2937.4189984883656</v>
      </c>
      <c r="E116" s="10"/>
      <c r="F116" s="10">
        <f t="shared" si="5"/>
        <v>1175188.5416435192</v>
      </c>
      <c r="G116" s="10">
        <f t="shared" si="6"/>
        <v>349.66100151163437</v>
      </c>
      <c r="I116" s="37"/>
    </row>
    <row r="117" spans="1:9" ht="12.75">
      <c r="A117" s="44">
        <v>103</v>
      </c>
      <c r="B117" s="46"/>
      <c r="C117" s="10">
        <f t="shared" si="7"/>
        <v>1175188.5416435192</v>
      </c>
      <c r="D117" s="10">
        <f t="shared" si="4"/>
        <v>2938.290807533564</v>
      </c>
      <c r="E117" s="10"/>
      <c r="F117" s="10">
        <f t="shared" si="5"/>
        <v>1172250.2508359856</v>
      </c>
      <c r="G117" s="10">
        <f t="shared" si="6"/>
        <v>348.7891924664361</v>
      </c>
      <c r="I117" s="37"/>
    </row>
    <row r="118" spans="1:13" ht="12.75">
      <c r="A118" s="44">
        <v>104</v>
      </c>
      <c r="B118" s="46"/>
      <c r="C118" s="10">
        <f t="shared" si="7"/>
        <v>1172250.2508359856</v>
      </c>
      <c r="D118" s="10">
        <f t="shared" si="4"/>
        <v>2939.162875326667</v>
      </c>
      <c r="E118" s="10"/>
      <c r="F118" s="10">
        <f t="shared" si="5"/>
        <v>1169311.087960659</v>
      </c>
      <c r="G118" s="10">
        <f t="shared" si="6"/>
        <v>347.91712467333303</v>
      </c>
      <c r="H118" s="10"/>
      <c r="I118" s="37"/>
      <c r="J118" s="10"/>
      <c r="K118" s="10"/>
      <c r="L118" s="10">
        <f>K118-K106</f>
        <v>0</v>
      </c>
      <c r="M118" s="54" t="e">
        <f>L118/K106</f>
        <v>#DIV/0!</v>
      </c>
    </row>
    <row r="119" spans="1:9" ht="12.75">
      <c r="A119" s="44">
        <v>105</v>
      </c>
      <c r="B119" s="46"/>
      <c r="C119" s="10">
        <f t="shared" si="7"/>
        <v>1169311.087960659</v>
      </c>
      <c r="D119" s="10">
        <f t="shared" si="4"/>
        <v>2940.0352019444695</v>
      </c>
      <c r="E119" s="10"/>
      <c r="F119" s="10">
        <f t="shared" si="5"/>
        <v>1166371.0527587146</v>
      </c>
      <c r="G119" s="10">
        <f t="shared" si="6"/>
        <v>347.04479805553046</v>
      </c>
      <c r="I119" s="37"/>
    </row>
    <row r="120" spans="1:9" ht="12.75">
      <c r="A120" s="44">
        <v>106</v>
      </c>
      <c r="B120" s="46"/>
      <c r="C120" s="10">
        <f t="shared" si="7"/>
        <v>1166371.0527587146</v>
      </c>
      <c r="D120" s="10">
        <f t="shared" si="4"/>
        <v>2940.90778746379</v>
      </c>
      <c r="E120" s="10"/>
      <c r="F120" s="10">
        <f t="shared" si="5"/>
        <v>1163430.1449712508</v>
      </c>
      <c r="G120" s="10">
        <f t="shared" si="6"/>
        <v>346.17221253620994</v>
      </c>
      <c r="I120" s="37"/>
    </row>
    <row r="121" spans="1:9" ht="12.75">
      <c r="A121" s="44">
        <v>107</v>
      </c>
      <c r="B121" s="46"/>
      <c r="C121" s="10">
        <f t="shared" si="7"/>
        <v>1163430.1449712508</v>
      </c>
      <c r="D121" s="10">
        <f t="shared" si="4"/>
        <v>2941.780631961468</v>
      </c>
      <c r="E121" s="10"/>
      <c r="F121" s="10">
        <f t="shared" si="5"/>
        <v>1160488.3643392893</v>
      </c>
      <c r="G121" s="10">
        <f t="shared" si="6"/>
        <v>345.299368038532</v>
      </c>
      <c r="I121" s="37"/>
    </row>
    <row r="122" spans="1:9" ht="12.75">
      <c r="A122" s="44">
        <v>108</v>
      </c>
      <c r="B122" s="46"/>
      <c r="C122" s="10">
        <f t="shared" si="7"/>
        <v>1160488.3643392893</v>
      </c>
      <c r="D122" s="10">
        <f t="shared" si="4"/>
        <v>2942.653735514367</v>
      </c>
      <c r="E122" s="10">
        <f>SUM(D111:D122)</f>
        <v>35254.27694580044</v>
      </c>
      <c r="F122" s="10">
        <f t="shared" si="5"/>
        <v>1157545.710603775</v>
      </c>
      <c r="G122" s="10">
        <f t="shared" si="6"/>
        <v>344.426264485633</v>
      </c>
      <c r="H122" s="10">
        <f>SUM(G111:G122)</f>
        <v>4190.683054199561</v>
      </c>
      <c r="I122" s="37"/>
    </row>
    <row r="123" spans="1:9" ht="12.75">
      <c r="A123" s="44">
        <v>109</v>
      </c>
      <c r="B123" s="46"/>
      <c r="C123" s="10">
        <f t="shared" si="7"/>
        <v>1157545.710603775</v>
      </c>
      <c r="D123" s="10">
        <f t="shared" si="4"/>
        <v>2943.5270981993735</v>
      </c>
      <c r="E123" s="10"/>
      <c r="F123" s="10">
        <f t="shared" si="5"/>
        <v>1154602.1835055756</v>
      </c>
      <c r="G123" s="10">
        <f t="shared" si="6"/>
        <v>343.5529018006266</v>
      </c>
      <c r="I123" s="37"/>
    </row>
    <row r="124" spans="1:9" ht="12.75">
      <c r="A124" s="44">
        <v>110</v>
      </c>
      <c r="B124" s="46"/>
      <c r="C124" s="10">
        <f t="shared" si="7"/>
        <v>1154602.1835055756</v>
      </c>
      <c r="D124" s="10">
        <f t="shared" si="4"/>
        <v>2944.400720093395</v>
      </c>
      <c r="E124" s="10"/>
      <c r="F124" s="10">
        <f t="shared" si="5"/>
        <v>1151657.7827854822</v>
      </c>
      <c r="G124" s="10">
        <f t="shared" si="6"/>
        <v>342.6792799066047</v>
      </c>
      <c r="I124" s="37"/>
    </row>
    <row r="125" spans="1:9" ht="12.75">
      <c r="A125" s="44">
        <v>111</v>
      </c>
      <c r="B125" s="46"/>
      <c r="C125" s="10">
        <f t="shared" si="7"/>
        <v>1151657.7827854822</v>
      </c>
      <c r="D125" s="10">
        <f t="shared" si="4"/>
        <v>2945.2746012733655</v>
      </c>
      <c r="E125" s="10"/>
      <c r="F125" s="10">
        <f t="shared" si="5"/>
        <v>1148712.5081842088</v>
      </c>
      <c r="G125" s="10">
        <f t="shared" si="6"/>
        <v>341.8053987266342</v>
      </c>
      <c r="I125" s="37"/>
    </row>
    <row r="126" spans="1:9" ht="12.75">
      <c r="A126" s="44">
        <v>112</v>
      </c>
      <c r="B126" s="46"/>
      <c r="C126" s="10">
        <f t="shared" si="7"/>
        <v>1148712.5081842088</v>
      </c>
      <c r="D126" s="10">
        <f t="shared" si="4"/>
        <v>2946.1487418162387</v>
      </c>
      <c r="E126" s="10"/>
      <c r="F126" s="10">
        <f t="shared" si="5"/>
        <v>1145766.3594423926</v>
      </c>
      <c r="G126" s="10">
        <f t="shared" si="6"/>
        <v>340.93125818376143</v>
      </c>
      <c r="I126" s="37"/>
    </row>
    <row r="127" spans="1:9" ht="12.75">
      <c r="A127" s="44">
        <v>113</v>
      </c>
      <c r="B127" s="46"/>
      <c r="C127" s="10">
        <f t="shared" si="7"/>
        <v>1145766.3594423926</v>
      </c>
      <c r="D127" s="10">
        <f t="shared" si="4"/>
        <v>2947.0231417989908</v>
      </c>
      <c r="E127" s="10"/>
      <c r="F127" s="10">
        <f t="shared" si="5"/>
        <v>1142819.3363005936</v>
      </c>
      <c r="G127" s="10">
        <f t="shared" si="6"/>
        <v>340.05685820100905</v>
      </c>
      <c r="I127" s="37"/>
    </row>
    <row r="128" spans="1:9" ht="12.75">
      <c r="A128" s="44">
        <v>114</v>
      </c>
      <c r="B128" s="46"/>
      <c r="C128" s="10">
        <f t="shared" si="7"/>
        <v>1142819.3363005936</v>
      </c>
      <c r="D128" s="10">
        <f t="shared" si="4"/>
        <v>2947.8978012986236</v>
      </c>
      <c r="E128" s="10"/>
      <c r="F128" s="10">
        <f t="shared" si="5"/>
        <v>1139871.438499295</v>
      </c>
      <c r="G128" s="10">
        <f t="shared" si="6"/>
        <v>339.18219870137636</v>
      </c>
      <c r="I128" s="37"/>
    </row>
    <row r="129" spans="1:9" ht="12.75">
      <c r="A129" s="44">
        <v>115</v>
      </c>
      <c r="B129" s="46"/>
      <c r="C129" s="10">
        <f t="shared" si="7"/>
        <v>1139871.438499295</v>
      </c>
      <c r="D129" s="10">
        <f t="shared" si="4"/>
        <v>2948.7727203921595</v>
      </c>
      <c r="E129" s="10"/>
      <c r="F129" s="10">
        <f t="shared" si="5"/>
        <v>1136922.6657789028</v>
      </c>
      <c r="G129" s="10">
        <f t="shared" si="6"/>
        <v>338.3072796078406</v>
      </c>
      <c r="I129" s="37"/>
    </row>
    <row r="130" spans="1:13" ht="12.75">
      <c r="A130" s="44">
        <v>116</v>
      </c>
      <c r="B130" s="46"/>
      <c r="C130" s="10">
        <f t="shared" si="7"/>
        <v>1136922.6657789028</v>
      </c>
      <c r="D130" s="10">
        <f t="shared" si="4"/>
        <v>2949.6478991566446</v>
      </c>
      <c r="E130" s="10"/>
      <c r="F130" s="10">
        <f t="shared" si="5"/>
        <v>1133973.0178797462</v>
      </c>
      <c r="G130" s="10">
        <f t="shared" si="6"/>
        <v>337.43210084335544</v>
      </c>
      <c r="H130" s="10"/>
      <c r="I130" s="37"/>
      <c r="J130" s="10"/>
      <c r="K130" s="10"/>
      <c r="L130" s="10">
        <f>K130-K118</f>
        <v>0</v>
      </c>
      <c r="M130" s="54" t="e">
        <f>L130/K118</f>
        <v>#DIV/0!</v>
      </c>
    </row>
    <row r="131" spans="1:9" ht="12.75">
      <c r="A131" s="44">
        <v>117</v>
      </c>
      <c r="B131" s="46"/>
      <c r="C131" s="10">
        <f t="shared" si="7"/>
        <v>1133973.0178797462</v>
      </c>
      <c r="D131" s="10">
        <f t="shared" si="4"/>
        <v>2950.523337669148</v>
      </c>
      <c r="E131" s="10"/>
      <c r="F131" s="10">
        <f t="shared" si="5"/>
        <v>1131022.494542077</v>
      </c>
      <c r="G131" s="10">
        <f t="shared" si="6"/>
        <v>336.5566623308519</v>
      </c>
      <c r="I131" s="37"/>
    </row>
    <row r="132" spans="1:9" ht="12.75">
      <c r="A132" s="44">
        <v>118</v>
      </c>
      <c r="B132" s="46"/>
      <c r="C132" s="10">
        <f t="shared" si="7"/>
        <v>1131022.494542077</v>
      </c>
      <c r="D132" s="10">
        <f t="shared" si="4"/>
        <v>2951.399036006761</v>
      </c>
      <c r="E132" s="10"/>
      <c r="F132" s="10">
        <f t="shared" si="5"/>
        <v>1128071.0955060702</v>
      </c>
      <c r="G132" s="10">
        <f t="shared" si="6"/>
        <v>335.68096399323883</v>
      </c>
      <c r="I132" s="37"/>
    </row>
    <row r="133" spans="1:9" ht="12.75">
      <c r="A133" s="44">
        <v>119</v>
      </c>
      <c r="B133" s="46"/>
      <c r="C133" s="10">
        <f t="shared" si="7"/>
        <v>1128071.0955060702</v>
      </c>
      <c r="D133" s="10">
        <f t="shared" si="4"/>
        <v>2952.2749942465985</v>
      </c>
      <c r="E133" s="10"/>
      <c r="F133" s="10">
        <f t="shared" si="5"/>
        <v>1125118.8205118235</v>
      </c>
      <c r="G133" s="10">
        <f t="shared" si="6"/>
        <v>334.80500575340153</v>
      </c>
      <c r="I133" s="37"/>
    </row>
    <row r="134" spans="1:9" ht="12.75">
      <c r="A134" s="44">
        <v>120</v>
      </c>
      <c r="B134" s="46"/>
      <c r="C134" s="10">
        <f t="shared" si="7"/>
        <v>1125118.8205118235</v>
      </c>
      <c r="D134" s="10">
        <f t="shared" si="4"/>
        <v>2953.1512124657975</v>
      </c>
      <c r="E134" s="10">
        <f>SUM(D123:D134)</f>
        <v>35380.0413044171</v>
      </c>
      <c r="F134" s="10">
        <f t="shared" si="5"/>
        <v>1122165.6692993578</v>
      </c>
      <c r="G134" s="10">
        <f t="shared" si="6"/>
        <v>333.9287875342027</v>
      </c>
      <c r="H134" s="10">
        <f>SUM(G123:G134)</f>
        <v>4064.9186955829027</v>
      </c>
      <c r="I134" s="37"/>
    </row>
    <row r="135" spans="1:9" ht="12.75">
      <c r="A135" s="44">
        <v>121</v>
      </c>
      <c r="B135" s="46"/>
      <c r="C135" s="10">
        <f t="shared" si="7"/>
        <v>1122165.6692993578</v>
      </c>
      <c r="D135" s="10">
        <f t="shared" si="4"/>
        <v>2954.0276907415187</v>
      </c>
      <c r="E135" s="10"/>
      <c r="F135" s="10">
        <f t="shared" si="5"/>
        <v>1119211.6416086163</v>
      </c>
      <c r="G135" s="10">
        <f t="shared" si="6"/>
        <v>333.05230925848144</v>
      </c>
      <c r="I135" s="37"/>
    </row>
    <row r="136" spans="1:9" ht="12.75">
      <c r="A136" s="44">
        <v>122</v>
      </c>
      <c r="B136" s="46"/>
      <c r="C136" s="10">
        <f t="shared" si="7"/>
        <v>1119211.6416086163</v>
      </c>
      <c r="D136" s="10">
        <f t="shared" si="4"/>
        <v>2954.904429150946</v>
      </c>
      <c r="E136" s="10"/>
      <c r="F136" s="10">
        <f t="shared" si="5"/>
        <v>1116256.7371794654</v>
      </c>
      <c r="G136" s="10">
        <f t="shared" si="6"/>
        <v>332.1755708490542</v>
      </c>
      <c r="I136" s="37"/>
    </row>
    <row r="137" spans="1:9" ht="12.75">
      <c r="A137" s="44">
        <v>123</v>
      </c>
      <c r="B137" s="46"/>
      <c r="C137" s="10">
        <f t="shared" si="7"/>
        <v>1116256.7371794654</v>
      </c>
      <c r="D137" s="10">
        <f t="shared" si="4"/>
        <v>2955.7814277712832</v>
      </c>
      <c r="E137" s="10"/>
      <c r="F137" s="10">
        <f t="shared" si="5"/>
        <v>1113300.955751694</v>
      </c>
      <c r="G137" s="10">
        <f t="shared" si="6"/>
        <v>331.29857222871647</v>
      </c>
      <c r="I137" s="37"/>
    </row>
    <row r="138" spans="1:9" ht="12.75">
      <c r="A138" s="44">
        <v>124</v>
      </c>
      <c r="B138" s="46"/>
      <c r="C138" s="10">
        <f t="shared" si="7"/>
        <v>1113300.955751694</v>
      </c>
      <c r="D138" s="10">
        <f t="shared" si="4"/>
        <v>2956.658686679763</v>
      </c>
      <c r="E138" s="10"/>
      <c r="F138" s="10">
        <f t="shared" si="5"/>
        <v>1110344.2970650143</v>
      </c>
      <c r="G138" s="10">
        <f t="shared" si="6"/>
        <v>330.4213133202371</v>
      </c>
      <c r="I138" s="37"/>
    </row>
    <row r="139" spans="1:9" ht="12.75">
      <c r="A139" s="44">
        <v>125</v>
      </c>
      <c r="B139" s="46"/>
      <c r="C139" s="10">
        <f t="shared" si="7"/>
        <v>1110344.2970650143</v>
      </c>
      <c r="D139" s="10">
        <f t="shared" si="4"/>
        <v>2957.536205953635</v>
      </c>
      <c r="E139" s="10"/>
      <c r="F139" s="10">
        <f t="shared" si="5"/>
        <v>1107386.7608590606</v>
      </c>
      <c r="G139" s="10">
        <f t="shared" si="6"/>
        <v>329.54379404636495</v>
      </c>
      <c r="I139" s="37"/>
    </row>
    <row r="140" spans="1:9" ht="12.75">
      <c r="A140" s="44">
        <v>126</v>
      </c>
      <c r="B140" s="46"/>
      <c r="C140" s="10">
        <f t="shared" si="7"/>
        <v>1107386.7608590606</v>
      </c>
      <c r="D140" s="10">
        <f t="shared" si="4"/>
        <v>2958.4139856701745</v>
      </c>
      <c r="E140" s="10"/>
      <c r="F140" s="10">
        <f t="shared" si="5"/>
        <v>1104428.3468733905</v>
      </c>
      <c r="G140" s="10">
        <f t="shared" si="6"/>
        <v>328.6660143298256</v>
      </c>
      <c r="I140" s="37"/>
    </row>
    <row r="141" spans="1:9" ht="12.75">
      <c r="A141" s="44">
        <v>127</v>
      </c>
      <c r="B141" s="46"/>
      <c r="C141" s="10">
        <f t="shared" si="7"/>
        <v>1104428.3468733905</v>
      </c>
      <c r="D141" s="10">
        <f t="shared" si="4"/>
        <v>2959.2920259066805</v>
      </c>
      <c r="E141" s="10"/>
      <c r="F141" s="10">
        <f t="shared" si="5"/>
        <v>1101469.0548474838</v>
      </c>
      <c r="G141" s="10">
        <f t="shared" si="6"/>
        <v>327.78797409331935</v>
      </c>
      <c r="I141" s="37"/>
    </row>
    <row r="142" spans="1:13" ht="12.75">
      <c r="A142" s="44">
        <v>128</v>
      </c>
      <c r="B142" s="46"/>
      <c r="C142" s="10">
        <f t="shared" si="7"/>
        <v>1101469.0548474838</v>
      </c>
      <c r="D142" s="10">
        <f t="shared" si="4"/>
        <v>2960.170326740472</v>
      </c>
      <c r="E142" s="10"/>
      <c r="F142" s="10">
        <f t="shared" si="5"/>
        <v>1098508.8845207433</v>
      </c>
      <c r="G142" s="10">
        <f t="shared" si="6"/>
        <v>326.9096732595281</v>
      </c>
      <c r="H142" s="10"/>
      <c r="I142" s="37"/>
      <c r="J142" s="10"/>
      <c r="K142" s="10"/>
      <c r="L142" s="10">
        <f>K142-K130</f>
        <v>0</v>
      </c>
      <c r="M142" s="54" t="e">
        <f>L142/K130</f>
        <v>#DIV/0!</v>
      </c>
    </row>
    <row r="143" spans="1:9" ht="12.75">
      <c r="A143" s="44">
        <v>129</v>
      </c>
      <c r="B143" s="46"/>
      <c r="C143" s="10">
        <f t="shared" si="7"/>
        <v>1098508.8845207433</v>
      </c>
      <c r="D143" s="10">
        <f aca="true" t="shared" si="8" ref="D143:D206">-PPMT($C$6/12,A143,$C$7,$C$5)</f>
        <v>2961.0488882488944</v>
      </c>
      <c r="E143" s="10"/>
      <c r="F143" s="10">
        <f aca="true" t="shared" si="9" ref="F143:F206">C143-D143</f>
        <v>1095547.8356324944</v>
      </c>
      <c r="G143" s="10">
        <f aca="true" t="shared" si="10" ref="G143:G206">-IPMT($C$6/12,A143,$C$7,$C$5)</f>
        <v>326.03111175110564</v>
      </c>
      <c r="I143" s="37"/>
    </row>
    <row r="144" spans="1:9" ht="12.75">
      <c r="A144" s="44">
        <v>130</v>
      </c>
      <c r="B144" s="46"/>
      <c r="C144" s="10">
        <f aca="true" t="shared" si="11" ref="C144:C207">F143</f>
        <v>1095547.8356324944</v>
      </c>
      <c r="D144" s="10">
        <f t="shared" si="8"/>
        <v>2961.927710509314</v>
      </c>
      <c r="E144" s="10"/>
      <c r="F144" s="10">
        <f t="shared" si="9"/>
        <v>1092585.907921985</v>
      </c>
      <c r="G144" s="10">
        <f t="shared" si="10"/>
        <v>325.1522894906861</v>
      </c>
      <c r="I144" s="37"/>
    </row>
    <row r="145" spans="1:9" ht="12.75">
      <c r="A145" s="44">
        <v>131</v>
      </c>
      <c r="B145" s="46"/>
      <c r="C145" s="10">
        <f t="shared" si="11"/>
        <v>1092585.907921985</v>
      </c>
      <c r="D145" s="10">
        <f t="shared" si="8"/>
        <v>2962.80679359912</v>
      </c>
      <c r="E145" s="10"/>
      <c r="F145" s="10">
        <f t="shared" si="9"/>
        <v>1089623.1011283859</v>
      </c>
      <c r="G145" s="10">
        <f t="shared" si="10"/>
        <v>324.2732064008802</v>
      </c>
      <c r="I145" s="37"/>
    </row>
    <row r="146" spans="1:9" ht="12.75">
      <c r="A146" s="44">
        <v>132</v>
      </c>
      <c r="B146" s="46"/>
      <c r="C146" s="10">
        <f t="shared" si="11"/>
        <v>1089623.1011283859</v>
      </c>
      <c r="D146" s="10">
        <f t="shared" si="8"/>
        <v>2963.6861375957246</v>
      </c>
      <c r="E146" s="10">
        <f>SUM(D135:D146)</f>
        <v>35506.25430856752</v>
      </c>
      <c r="F146" s="10">
        <f t="shared" si="9"/>
        <v>1086659.4149907902</v>
      </c>
      <c r="G146" s="10">
        <f t="shared" si="10"/>
        <v>323.3938624042752</v>
      </c>
      <c r="H146" s="10">
        <f>SUM(G135:G146)</f>
        <v>3938.705691432474</v>
      </c>
      <c r="I146" s="37"/>
    </row>
    <row r="147" spans="1:9" ht="12.75">
      <c r="A147" s="44">
        <v>133</v>
      </c>
      <c r="B147" s="46"/>
      <c r="C147" s="10">
        <f t="shared" si="11"/>
        <v>1086659.4149907902</v>
      </c>
      <c r="D147" s="10">
        <f t="shared" si="8"/>
        <v>2964.565742576565</v>
      </c>
      <c r="E147" s="10"/>
      <c r="F147" s="10">
        <f t="shared" si="9"/>
        <v>1083694.8492482137</v>
      </c>
      <c r="G147" s="10">
        <f t="shared" si="10"/>
        <v>322.51425742343486</v>
      </c>
      <c r="I147" s="37"/>
    </row>
    <row r="148" spans="1:9" ht="12.75">
      <c r="A148" s="44">
        <v>134</v>
      </c>
      <c r="B148" s="46"/>
      <c r="C148" s="10">
        <f t="shared" si="11"/>
        <v>1083694.8492482137</v>
      </c>
      <c r="D148" s="10">
        <f t="shared" si="8"/>
        <v>2965.4456086190985</v>
      </c>
      <c r="E148" s="10"/>
      <c r="F148" s="10">
        <f t="shared" si="9"/>
        <v>1080729.4036395946</v>
      </c>
      <c r="G148" s="10">
        <f t="shared" si="10"/>
        <v>321.63439138090143</v>
      </c>
      <c r="I148" s="37"/>
    </row>
    <row r="149" spans="1:9" ht="12.75">
      <c r="A149" s="44">
        <v>135</v>
      </c>
      <c r="B149" s="46"/>
      <c r="C149" s="10">
        <f t="shared" si="11"/>
        <v>1080729.4036395946</v>
      </c>
      <c r="D149" s="10">
        <f t="shared" si="8"/>
        <v>2966.3257358008077</v>
      </c>
      <c r="E149" s="10"/>
      <c r="F149" s="10">
        <f t="shared" si="9"/>
        <v>1077763.0779037937</v>
      </c>
      <c r="G149" s="10">
        <f t="shared" si="10"/>
        <v>320.7542641991921</v>
      </c>
      <c r="I149" s="37"/>
    </row>
    <row r="150" spans="1:9" ht="12.75">
      <c r="A150" s="44">
        <v>136</v>
      </c>
      <c r="B150" s="46"/>
      <c r="C150" s="10">
        <f t="shared" si="11"/>
        <v>1077763.0779037937</v>
      </c>
      <c r="D150" s="10">
        <f t="shared" si="8"/>
        <v>2967.2061241991964</v>
      </c>
      <c r="E150" s="10"/>
      <c r="F150" s="10">
        <f t="shared" si="9"/>
        <v>1074795.8717795946</v>
      </c>
      <c r="G150" s="10">
        <f t="shared" si="10"/>
        <v>319.87387580080355</v>
      </c>
      <c r="I150" s="37"/>
    </row>
    <row r="151" spans="1:9" ht="12.75">
      <c r="A151" s="44">
        <v>137</v>
      </c>
      <c r="B151" s="46"/>
      <c r="C151" s="10">
        <f t="shared" si="11"/>
        <v>1074795.8717795946</v>
      </c>
      <c r="D151" s="10">
        <f t="shared" si="8"/>
        <v>2968.0867738917923</v>
      </c>
      <c r="E151" s="10"/>
      <c r="F151" s="10">
        <f t="shared" si="9"/>
        <v>1071827.7850057029</v>
      </c>
      <c r="G151" s="10">
        <f t="shared" si="10"/>
        <v>318.9932261082077</v>
      </c>
      <c r="I151" s="37"/>
    </row>
    <row r="152" spans="1:9" ht="12.75">
      <c r="A152" s="44">
        <v>138</v>
      </c>
      <c r="B152" s="46"/>
      <c r="C152" s="10">
        <f t="shared" si="11"/>
        <v>1071827.7850057029</v>
      </c>
      <c r="D152" s="10">
        <f t="shared" si="8"/>
        <v>2968.9676849561465</v>
      </c>
      <c r="E152" s="10"/>
      <c r="F152" s="10">
        <f t="shared" si="9"/>
        <v>1068858.8173207468</v>
      </c>
      <c r="G152" s="10">
        <f t="shared" si="10"/>
        <v>318.1123150438533</v>
      </c>
      <c r="I152" s="37"/>
    </row>
    <row r="153" spans="1:9" ht="12.75">
      <c r="A153" s="44">
        <v>139</v>
      </c>
      <c r="B153" s="46"/>
      <c r="C153" s="10">
        <f t="shared" si="11"/>
        <v>1068858.8173207468</v>
      </c>
      <c r="D153" s="10">
        <f t="shared" si="8"/>
        <v>2969.848857469832</v>
      </c>
      <c r="E153" s="10"/>
      <c r="F153" s="10">
        <f t="shared" si="9"/>
        <v>1065888.968463277</v>
      </c>
      <c r="G153" s="10">
        <f t="shared" si="10"/>
        <v>317.2311425301675</v>
      </c>
      <c r="I153" s="37"/>
    </row>
    <row r="154" spans="1:13" ht="12.75">
      <c r="A154" s="44">
        <v>140</v>
      </c>
      <c r="B154" s="46"/>
      <c r="C154" s="10">
        <f t="shared" si="11"/>
        <v>1065888.968463277</v>
      </c>
      <c r="D154" s="10">
        <f t="shared" si="8"/>
        <v>2970.7302915104465</v>
      </c>
      <c r="E154" s="10"/>
      <c r="F154" s="10">
        <f t="shared" si="9"/>
        <v>1062918.2381717665</v>
      </c>
      <c r="G154" s="10">
        <f t="shared" si="10"/>
        <v>316.34970848955334</v>
      </c>
      <c r="H154" s="10"/>
      <c r="I154" s="37"/>
      <c r="J154" s="10"/>
      <c r="K154" s="10"/>
      <c r="L154" s="10">
        <f>K154-K142</f>
        <v>0</v>
      </c>
      <c r="M154" s="54" t="e">
        <f>L154/K142</f>
        <v>#DIV/0!</v>
      </c>
    </row>
    <row r="155" spans="1:9" ht="12.75">
      <c r="A155" s="44">
        <v>141</v>
      </c>
      <c r="B155" s="46"/>
      <c r="C155" s="10">
        <f t="shared" si="11"/>
        <v>1062918.2381717665</v>
      </c>
      <c r="D155" s="10">
        <f t="shared" si="8"/>
        <v>2971.611987155609</v>
      </c>
      <c r="E155" s="10"/>
      <c r="F155" s="10">
        <f t="shared" si="9"/>
        <v>1059946.6261846109</v>
      </c>
      <c r="G155" s="10">
        <f t="shared" si="10"/>
        <v>315.46801284439096</v>
      </c>
      <c r="I155" s="37"/>
    </row>
    <row r="156" spans="1:9" ht="12.75">
      <c r="A156" s="44">
        <v>142</v>
      </c>
      <c r="B156" s="46"/>
      <c r="C156" s="10">
        <f t="shared" si="11"/>
        <v>1059946.6261846109</v>
      </c>
      <c r="D156" s="10">
        <f t="shared" si="8"/>
        <v>2972.493944482961</v>
      </c>
      <c r="E156" s="10"/>
      <c r="F156" s="10">
        <f t="shared" si="9"/>
        <v>1056974.132240128</v>
      </c>
      <c r="G156" s="10">
        <f t="shared" si="10"/>
        <v>314.5860555170387</v>
      </c>
      <c r="I156" s="37"/>
    </row>
    <row r="157" spans="1:9" ht="12.75">
      <c r="A157" s="44">
        <v>143</v>
      </c>
      <c r="B157" s="46"/>
      <c r="C157" s="10">
        <f t="shared" si="11"/>
        <v>1056974.132240128</v>
      </c>
      <c r="D157" s="10">
        <f t="shared" si="8"/>
        <v>2973.376163570171</v>
      </c>
      <c r="E157" s="10"/>
      <c r="F157" s="10">
        <f t="shared" si="9"/>
        <v>1054000.7560765578</v>
      </c>
      <c r="G157" s="10">
        <f t="shared" si="10"/>
        <v>313.7038364298291</v>
      </c>
      <c r="I157" s="37"/>
    </row>
    <row r="158" spans="1:9" ht="12.75">
      <c r="A158" s="44">
        <v>144</v>
      </c>
      <c r="B158" s="46"/>
      <c r="C158" s="10">
        <f t="shared" si="11"/>
        <v>1054000.7560765578</v>
      </c>
      <c r="D158" s="10">
        <f t="shared" si="8"/>
        <v>2974.258644494925</v>
      </c>
      <c r="E158" s="10">
        <f>SUM(D147:D158)</f>
        <v>35632.91755872755</v>
      </c>
      <c r="F158" s="10">
        <f t="shared" si="9"/>
        <v>1051026.4974320629</v>
      </c>
      <c r="G158" s="10">
        <f t="shared" si="10"/>
        <v>312.8213555050749</v>
      </c>
      <c r="H158" s="10">
        <f>SUM(G147:G158)</f>
        <v>3812.042441272448</v>
      </c>
      <c r="I158" s="37"/>
    </row>
    <row r="159" spans="1:9" ht="12.75">
      <c r="A159" s="44">
        <v>145</v>
      </c>
      <c r="B159" s="46"/>
      <c r="C159" s="10">
        <f t="shared" si="11"/>
        <v>1051026.4974320629</v>
      </c>
      <c r="D159" s="10">
        <f t="shared" si="8"/>
        <v>2975.1413873349375</v>
      </c>
      <c r="E159" s="10"/>
      <c r="F159" s="10">
        <f t="shared" si="9"/>
        <v>1048051.356044728</v>
      </c>
      <c r="G159" s="10">
        <f t="shared" si="10"/>
        <v>311.93861266506264</v>
      </c>
      <c r="I159" s="37"/>
    </row>
    <row r="160" spans="1:9" ht="12.75">
      <c r="A160" s="44">
        <v>146</v>
      </c>
      <c r="B160" s="46"/>
      <c r="C160" s="10">
        <f t="shared" si="11"/>
        <v>1048051.356044728</v>
      </c>
      <c r="D160" s="10">
        <f t="shared" si="8"/>
        <v>2976.0243921679407</v>
      </c>
      <c r="E160" s="10"/>
      <c r="F160" s="10">
        <f t="shared" si="9"/>
        <v>1045075.33165256</v>
      </c>
      <c r="G160" s="10">
        <f t="shared" si="10"/>
        <v>311.0556078320593</v>
      </c>
      <c r="I160" s="37"/>
    </row>
    <row r="161" spans="1:9" ht="12.75">
      <c r="A161" s="44">
        <v>147</v>
      </c>
      <c r="B161" s="46"/>
      <c r="C161" s="10">
        <f t="shared" si="11"/>
        <v>1045075.33165256</v>
      </c>
      <c r="D161" s="10">
        <f t="shared" si="8"/>
        <v>2976.907659071695</v>
      </c>
      <c r="E161" s="10"/>
      <c r="F161" s="10">
        <f t="shared" si="9"/>
        <v>1042098.4239934883</v>
      </c>
      <c r="G161" s="10">
        <f t="shared" si="10"/>
        <v>310.1723409283052</v>
      </c>
      <c r="I161" s="37"/>
    </row>
    <row r="162" spans="1:9" ht="12.75">
      <c r="A162" s="44">
        <v>148</v>
      </c>
      <c r="B162" s="46"/>
      <c r="C162" s="10">
        <f t="shared" si="11"/>
        <v>1042098.4239934883</v>
      </c>
      <c r="D162" s="10">
        <f t="shared" si="8"/>
        <v>2977.7911881239797</v>
      </c>
      <c r="E162" s="10"/>
      <c r="F162" s="10">
        <f t="shared" si="9"/>
        <v>1039120.6328053643</v>
      </c>
      <c r="G162" s="10">
        <f t="shared" si="10"/>
        <v>309.28881187601996</v>
      </c>
      <c r="I162" s="37"/>
    </row>
    <row r="163" spans="1:9" ht="12.75">
      <c r="A163" s="44">
        <v>149</v>
      </c>
      <c r="B163" s="46"/>
      <c r="C163" s="10">
        <f t="shared" si="11"/>
        <v>1039120.6328053643</v>
      </c>
      <c r="D163" s="10">
        <f t="shared" si="8"/>
        <v>2978.674979402601</v>
      </c>
      <c r="E163" s="10"/>
      <c r="F163" s="10">
        <f t="shared" si="9"/>
        <v>1036141.9578259618</v>
      </c>
      <c r="G163" s="10">
        <f t="shared" si="10"/>
        <v>308.40502059739896</v>
      </c>
      <c r="I163" s="37"/>
    </row>
    <row r="164" spans="1:9" ht="12.75">
      <c r="A164" s="44">
        <v>150</v>
      </c>
      <c r="B164" s="46"/>
      <c r="C164" s="10">
        <f t="shared" si="11"/>
        <v>1036141.9578259618</v>
      </c>
      <c r="D164" s="10">
        <f t="shared" si="8"/>
        <v>2979.559032985384</v>
      </c>
      <c r="E164" s="10"/>
      <c r="F164" s="10">
        <f t="shared" si="9"/>
        <v>1033162.3987929764</v>
      </c>
      <c r="G164" s="10">
        <f t="shared" si="10"/>
        <v>307.52096701461596</v>
      </c>
      <c r="I164" s="37"/>
    </row>
    <row r="165" spans="1:9" ht="12.75">
      <c r="A165" s="44">
        <v>151</v>
      </c>
      <c r="B165" s="46"/>
      <c r="C165" s="10">
        <f t="shared" si="11"/>
        <v>1033162.3987929764</v>
      </c>
      <c r="D165" s="10">
        <f t="shared" si="8"/>
        <v>2980.4433489501807</v>
      </c>
      <c r="E165" s="10"/>
      <c r="F165" s="10">
        <f t="shared" si="9"/>
        <v>1030181.9554440263</v>
      </c>
      <c r="G165" s="10">
        <f t="shared" si="10"/>
        <v>306.63665104981925</v>
      </c>
      <c r="I165" s="37"/>
    </row>
    <row r="166" spans="1:13" ht="12.75">
      <c r="A166" s="44">
        <v>152</v>
      </c>
      <c r="B166" s="46"/>
      <c r="C166" s="10">
        <f t="shared" si="11"/>
        <v>1030181.9554440263</v>
      </c>
      <c r="D166" s="10">
        <f t="shared" si="8"/>
        <v>2981.327927374863</v>
      </c>
      <c r="E166" s="10"/>
      <c r="F166" s="10">
        <f t="shared" si="9"/>
        <v>1027200.6275166514</v>
      </c>
      <c r="G166" s="10">
        <f t="shared" si="10"/>
        <v>305.75207262513686</v>
      </c>
      <c r="H166" s="10"/>
      <c r="I166" s="37"/>
      <c r="J166" s="10"/>
      <c r="K166" s="10"/>
      <c r="L166" s="10">
        <f>K166-K154</f>
        <v>0</v>
      </c>
      <c r="M166" s="54" t="e">
        <f>L166/K154</f>
        <v>#DIV/0!</v>
      </c>
    </row>
    <row r="167" spans="1:9" ht="12.75">
      <c r="A167" s="44">
        <v>153</v>
      </c>
      <c r="B167" s="46"/>
      <c r="C167" s="10">
        <f t="shared" si="11"/>
        <v>1027200.6275166514</v>
      </c>
      <c r="D167" s="10">
        <f t="shared" si="8"/>
        <v>2982.212768337329</v>
      </c>
      <c r="E167" s="10"/>
      <c r="F167" s="10">
        <f t="shared" si="9"/>
        <v>1024218.4147483141</v>
      </c>
      <c r="G167" s="10">
        <f t="shared" si="10"/>
        <v>304.8672316626708</v>
      </c>
      <c r="I167" s="37"/>
    </row>
    <row r="168" spans="1:9" ht="12.75">
      <c r="A168" s="44">
        <v>154</v>
      </c>
      <c r="B168" s="46"/>
      <c r="C168" s="10">
        <f t="shared" si="11"/>
        <v>1024218.4147483141</v>
      </c>
      <c r="D168" s="10">
        <f t="shared" si="8"/>
        <v>2983.097871915498</v>
      </c>
      <c r="E168" s="10"/>
      <c r="F168" s="10">
        <f t="shared" si="9"/>
        <v>1021235.3168763985</v>
      </c>
      <c r="G168" s="10">
        <f t="shared" si="10"/>
        <v>303.9821280845018</v>
      </c>
      <c r="I168" s="37"/>
    </row>
    <row r="169" spans="1:9" ht="12.75">
      <c r="A169" s="44">
        <v>155</v>
      </c>
      <c r="B169" s="46"/>
      <c r="C169" s="10">
        <f t="shared" si="11"/>
        <v>1021235.3168763985</v>
      </c>
      <c r="D169" s="10">
        <f t="shared" si="8"/>
        <v>2983.983238187312</v>
      </c>
      <c r="E169" s="10"/>
      <c r="F169" s="10">
        <f t="shared" si="9"/>
        <v>1018251.3336382112</v>
      </c>
      <c r="G169" s="10">
        <f t="shared" si="10"/>
        <v>303.096761812688</v>
      </c>
      <c r="I169" s="37"/>
    </row>
    <row r="170" spans="1:9" ht="12.75">
      <c r="A170" s="44">
        <v>156</v>
      </c>
      <c r="B170" s="46"/>
      <c r="C170" s="10">
        <f t="shared" si="11"/>
        <v>1018251.3336382112</v>
      </c>
      <c r="D170" s="10">
        <f t="shared" si="8"/>
        <v>2984.868867230738</v>
      </c>
      <c r="E170" s="10">
        <f>SUM(D159:D170)</f>
        <v>35760.03266108246</v>
      </c>
      <c r="F170" s="10">
        <f t="shared" si="9"/>
        <v>1015266.4647709805</v>
      </c>
      <c r="G170" s="10">
        <f t="shared" si="10"/>
        <v>302.2111327692621</v>
      </c>
      <c r="H170" s="10">
        <f>SUM(G159:G170)</f>
        <v>3684.9273389175405</v>
      </c>
      <c r="I170" s="37"/>
    </row>
    <row r="171" spans="1:9" ht="12.75">
      <c r="A171" s="44">
        <v>157</v>
      </c>
      <c r="B171" s="46"/>
      <c r="C171" s="10">
        <f t="shared" si="11"/>
        <v>1015266.4647709805</v>
      </c>
      <c r="D171" s="10">
        <f t="shared" si="8"/>
        <v>2985.7547591237644</v>
      </c>
      <c r="E171" s="10"/>
      <c r="F171" s="10">
        <f t="shared" si="9"/>
        <v>1012280.7100118567</v>
      </c>
      <c r="G171" s="10">
        <f t="shared" si="10"/>
        <v>301.3252408762355</v>
      </c>
      <c r="I171" s="37"/>
    </row>
    <row r="172" spans="1:9" ht="12.75">
      <c r="A172" s="44">
        <v>158</v>
      </c>
      <c r="B172" s="46"/>
      <c r="C172" s="10">
        <f t="shared" si="11"/>
        <v>1012280.7100118567</v>
      </c>
      <c r="D172" s="10">
        <f t="shared" si="8"/>
        <v>2986.6409139444027</v>
      </c>
      <c r="E172" s="10"/>
      <c r="F172" s="10">
        <f t="shared" si="9"/>
        <v>1009294.0690979123</v>
      </c>
      <c r="G172" s="10">
        <f t="shared" si="10"/>
        <v>300.4390860555971</v>
      </c>
      <c r="I172" s="37"/>
    </row>
    <row r="173" spans="1:9" ht="12.75">
      <c r="A173" s="44">
        <v>159</v>
      </c>
      <c r="B173" s="46"/>
      <c r="C173" s="10">
        <f t="shared" si="11"/>
        <v>1009294.0690979123</v>
      </c>
      <c r="D173" s="10">
        <f t="shared" si="8"/>
        <v>2987.527331770691</v>
      </c>
      <c r="E173" s="10"/>
      <c r="F173" s="10">
        <f t="shared" si="9"/>
        <v>1006306.5417661415</v>
      </c>
      <c r="G173" s="10">
        <f t="shared" si="10"/>
        <v>299.5526682293089</v>
      </c>
      <c r="I173" s="37"/>
    </row>
    <row r="174" spans="1:9" ht="12.75">
      <c r="A174" s="44">
        <v>160</v>
      </c>
      <c r="B174" s="46"/>
      <c r="C174" s="10">
        <f t="shared" si="11"/>
        <v>1006306.5417661415</v>
      </c>
      <c r="D174" s="10">
        <f t="shared" si="8"/>
        <v>2988.4140126806856</v>
      </c>
      <c r="E174" s="10"/>
      <c r="F174" s="10">
        <f t="shared" si="9"/>
        <v>1003318.1277534609</v>
      </c>
      <c r="G174" s="10">
        <f t="shared" si="10"/>
        <v>298.6659873193144</v>
      </c>
      <c r="I174" s="37"/>
    </row>
    <row r="175" spans="1:9" ht="12.75">
      <c r="A175" s="44">
        <v>161</v>
      </c>
      <c r="B175" s="46"/>
      <c r="C175" s="10">
        <f t="shared" si="11"/>
        <v>1003318.1277534609</v>
      </c>
      <c r="D175" s="10">
        <f t="shared" si="8"/>
        <v>2989.3009567524687</v>
      </c>
      <c r="E175" s="10"/>
      <c r="F175" s="10">
        <f t="shared" si="9"/>
        <v>1000328.8267967084</v>
      </c>
      <c r="G175" s="10">
        <f t="shared" si="10"/>
        <v>297.7790432475311</v>
      </c>
      <c r="I175" s="37"/>
    </row>
    <row r="176" spans="1:9" ht="12.75">
      <c r="A176" s="44">
        <v>162</v>
      </c>
      <c r="B176" s="46"/>
      <c r="C176" s="10">
        <f t="shared" si="11"/>
        <v>1000328.8267967084</v>
      </c>
      <c r="D176" s="10">
        <f t="shared" si="8"/>
        <v>2990.1881640641454</v>
      </c>
      <c r="E176" s="10"/>
      <c r="F176" s="10">
        <f t="shared" si="9"/>
        <v>997338.6386326442</v>
      </c>
      <c r="G176" s="10">
        <f t="shared" si="10"/>
        <v>296.8918359358545</v>
      </c>
      <c r="I176" s="37"/>
    </row>
    <row r="177" spans="1:9" ht="12.75">
      <c r="A177" s="44">
        <v>163</v>
      </c>
      <c r="B177" s="46"/>
      <c r="C177" s="10">
        <f t="shared" si="11"/>
        <v>997338.6386326442</v>
      </c>
      <c r="D177" s="10">
        <f t="shared" si="8"/>
        <v>2991.0756346938433</v>
      </c>
      <c r="E177" s="10"/>
      <c r="F177" s="10">
        <f t="shared" si="9"/>
        <v>994347.5629979504</v>
      </c>
      <c r="G177" s="10">
        <f t="shared" si="10"/>
        <v>296.0043653061565</v>
      </c>
      <c r="I177" s="37"/>
    </row>
    <row r="178" spans="1:13" ht="12.75">
      <c r="A178" s="44">
        <v>164</v>
      </c>
      <c r="B178" s="46"/>
      <c r="C178" s="10">
        <f t="shared" si="11"/>
        <v>994347.5629979504</v>
      </c>
      <c r="D178" s="10">
        <f t="shared" si="8"/>
        <v>2991.9633687197147</v>
      </c>
      <c r="E178" s="10"/>
      <c r="F178" s="10">
        <f t="shared" si="9"/>
        <v>991355.5996292307</v>
      </c>
      <c r="G178" s="10">
        <f t="shared" si="10"/>
        <v>295.1166312802851</v>
      </c>
      <c r="H178" s="10"/>
      <c r="I178" s="37"/>
      <c r="J178" s="10"/>
      <c r="K178" s="10"/>
      <c r="L178" s="10">
        <f>K178-K166</f>
        <v>0</v>
      </c>
      <c r="M178" s="54" t="e">
        <f>L178/K166</f>
        <v>#DIV/0!</v>
      </c>
    </row>
    <row r="179" spans="1:9" ht="12.75">
      <c r="A179" s="44">
        <v>165</v>
      </c>
      <c r="B179" s="46"/>
      <c r="C179" s="10">
        <f t="shared" si="11"/>
        <v>991355.5996292307</v>
      </c>
      <c r="D179" s="10">
        <f t="shared" si="8"/>
        <v>2992.851366219934</v>
      </c>
      <c r="E179" s="10"/>
      <c r="F179" s="10">
        <f t="shared" si="9"/>
        <v>988362.7482630108</v>
      </c>
      <c r="G179" s="10">
        <f t="shared" si="10"/>
        <v>294.2286337800661</v>
      </c>
      <c r="I179" s="37"/>
    </row>
    <row r="180" spans="1:9" ht="12.75">
      <c r="A180" s="44">
        <v>166</v>
      </c>
      <c r="B180" s="46"/>
      <c r="C180" s="10">
        <f t="shared" si="11"/>
        <v>988362.7482630108</v>
      </c>
      <c r="D180" s="10">
        <f t="shared" si="8"/>
        <v>2993.739627272697</v>
      </c>
      <c r="E180" s="10"/>
      <c r="F180" s="10">
        <f t="shared" si="9"/>
        <v>985369.008635738</v>
      </c>
      <c r="G180" s="10">
        <f t="shared" si="10"/>
        <v>293.3403727273031</v>
      </c>
      <c r="I180" s="37"/>
    </row>
    <row r="181" spans="1:9" ht="12.75">
      <c r="A181" s="44">
        <v>167</v>
      </c>
      <c r="B181" s="46"/>
      <c r="C181" s="10">
        <f t="shared" si="11"/>
        <v>985369.008635738</v>
      </c>
      <c r="D181" s="10">
        <f t="shared" si="8"/>
        <v>2994.6281519562267</v>
      </c>
      <c r="E181" s="10"/>
      <c r="F181" s="10">
        <f t="shared" si="9"/>
        <v>982374.3804837818</v>
      </c>
      <c r="G181" s="10">
        <f t="shared" si="10"/>
        <v>292.4518480437731</v>
      </c>
      <c r="I181" s="37"/>
    </row>
    <row r="182" spans="1:9" ht="12.75">
      <c r="A182" s="44">
        <v>168</v>
      </c>
      <c r="B182" s="46"/>
      <c r="C182" s="10">
        <f t="shared" si="11"/>
        <v>982374.3804837818</v>
      </c>
      <c r="D182" s="10">
        <f t="shared" si="8"/>
        <v>2995.5169403487657</v>
      </c>
      <c r="E182" s="10">
        <f>SUM(D171:D182)</f>
        <v>35887.60122754734</v>
      </c>
      <c r="F182" s="10">
        <f t="shared" si="9"/>
        <v>979378.863543433</v>
      </c>
      <c r="G182" s="10">
        <f t="shared" si="10"/>
        <v>291.5630596512342</v>
      </c>
      <c r="H182" s="10">
        <f>SUM(G171:G182)</f>
        <v>3557.3587724526597</v>
      </c>
      <c r="I182" s="37"/>
    </row>
    <row r="183" spans="1:9" ht="12.75">
      <c r="A183" s="44">
        <v>169</v>
      </c>
      <c r="B183" s="46"/>
      <c r="C183" s="10">
        <f t="shared" si="11"/>
        <v>979378.863543433</v>
      </c>
      <c r="D183" s="10">
        <f t="shared" si="8"/>
        <v>2996.405992528582</v>
      </c>
      <c r="E183" s="10"/>
      <c r="F183" s="10">
        <f t="shared" si="9"/>
        <v>976382.4575509045</v>
      </c>
      <c r="G183" s="10">
        <f t="shared" si="10"/>
        <v>290.67400747141784</v>
      </c>
      <c r="I183" s="37"/>
    </row>
    <row r="184" spans="1:9" ht="12.75">
      <c r="A184" s="44">
        <v>170</v>
      </c>
      <c r="B184" s="46"/>
      <c r="C184" s="10">
        <f t="shared" si="11"/>
        <v>976382.4575509045</v>
      </c>
      <c r="D184" s="10">
        <f t="shared" si="8"/>
        <v>2997.2953085739673</v>
      </c>
      <c r="E184" s="10"/>
      <c r="F184" s="10">
        <f t="shared" si="9"/>
        <v>973385.1622423305</v>
      </c>
      <c r="G184" s="10">
        <f t="shared" si="10"/>
        <v>289.7846914260328</v>
      </c>
      <c r="I184" s="37"/>
    </row>
    <row r="185" spans="1:9" ht="12.75">
      <c r="A185" s="44">
        <v>171</v>
      </c>
      <c r="B185" s="46"/>
      <c r="C185" s="10">
        <f t="shared" si="11"/>
        <v>973385.1622423305</v>
      </c>
      <c r="D185" s="10">
        <f t="shared" si="8"/>
        <v>2998.184888563233</v>
      </c>
      <c r="E185" s="10"/>
      <c r="F185" s="10">
        <f t="shared" si="9"/>
        <v>970386.9773537673</v>
      </c>
      <c r="G185" s="10">
        <f t="shared" si="10"/>
        <v>288.89511143676674</v>
      </c>
      <c r="I185" s="37"/>
    </row>
    <row r="186" spans="1:9" ht="12.75">
      <c r="A186" s="44">
        <v>172</v>
      </c>
      <c r="B186" s="46"/>
      <c r="C186" s="10">
        <f t="shared" si="11"/>
        <v>970386.9773537673</v>
      </c>
      <c r="D186" s="10">
        <f t="shared" si="8"/>
        <v>2999.074732574718</v>
      </c>
      <c r="E186" s="10"/>
      <c r="F186" s="10">
        <f t="shared" si="9"/>
        <v>967387.9026211925</v>
      </c>
      <c r="G186" s="10">
        <f t="shared" si="10"/>
        <v>288.00526742528217</v>
      </c>
      <c r="I186" s="37"/>
    </row>
    <row r="187" spans="1:9" ht="12.75">
      <c r="A187" s="44">
        <v>173</v>
      </c>
      <c r="B187" s="46"/>
      <c r="C187" s="10">
        <f t="shared" si="11"/>
        <v>967387.9026211925</v>
      </c>
      <c r="D187" s="10">
        <f t="shared" si="8"/>
        <v>2999.964840686782</v>
      </c>
      <c r="E187" s="10"/>
      <c r="F187" s="10">
        <f t="shared" si="9"/>
        <v>964387.9377805057</v>
      </c>
      <c r="G187" s="10">
        <f t="shared" si="10"/>
        <v>287.1151593132182</v>
      </c>
      <c r="I187" s="37"/>
    </row>
    <row r="188" spans="1:9" ht="12.75">
      <c r="A188" s="44">
        <v>174</v>
      </c>
      <c r="B188" s="46"/>
      <c r="C188" s="10">
        <f t="shared" si="11"/>
        <v>964387.9377805057</v>
      </c>
      <c r="D188" s="10">
        <f t="shared" si="8"/>
        <v>3000.8552129778077</v>
      </c>
      <c r="E188" s="10"/>
      <c r="F188" s="10">
        <f t="shared" si="9"/>
        <v>961387.0825675279</v>
      </c>
      <c r="G188" s="10">
        <f t="shared" si="10"/>
        <v>286.22478702219234</v>
      </c>
      <c r="I188" s="37"/>
    </row>
    <row r="189" spans="1:9" ht="12.75">
      <c r="A189" s="44">
        <v>175</v>
      </c>
      <c r="B189" s="46"/>
      <c r="C189" s="10">
        <f t="shared" si="11"/>
        <v>961387.0825675279</v>
      </c>
      <c r="D189" s="10">
        <f t="shared" si="8"/>
        <v>3001.745849526203</v>
      </c>
      <c r="E189" s="10"/>
      <c r="F189" s="10">
        <f t="shared" si="9"/>
        <v>958385.3367180016</v>
      </c>
      <c r="G189" s="10">
        <f t="shared" si="10"/>
        <v>285.33415047379674</v>
      </c>
      <c r="I189" s="37"/>
    </row>
    <row r="190" spans="1:13" ht="12.75">
      <c r="A190" s="44">
        <v>176</v>
      </c>
      <c r="B190" s="46"/>
      <c r="C190" s="10">
        <f t="shared" si="11"/>
        <v>958385.3367180016</v>
      </c>
      <c r="D190" s="10">
        <f t="shared" si="8"/>
        <v>3002.636750410398</v>
      </c>
      <c r="E190" s="10"/>
      <c r="F190" s="10">
        <f t="shared" si="9"/>
        <v>955382.6999675912</v>
      </c>
      <c r="G190" s="10">
        <f t="shared" si="10"/>
        <v>284.4432495896022</v>
      </c>
      <c r="H190" s="10"/>
      <c r="I190" s="37"/>
      <c r="J190" s="10"/>
      <c r="K190" s="10"/>
      <c r="L190" s="10">
        <f>K190-K178</f>
        <v>0</v>
      </c>
      <c r="M190" s="54" t="e">
        <f>L190/K178</f>
        <v>#DIV/0!</v>
      </c>
    </row>
    <row r="191" spans="1:9" ht="12.75">
      <c r="A191" s="44">
        <v>177</v>
      </c>
      <c r="B191" s="46"/>
      <c r="C191" s="10">
        <f t="shared" si="11"/>
        <v>955382.6999675912</v>
      </c>
      <c r="D191" s="10">
        <f t="shared" si="8"/>
        <v>3003.5279157088453</v>
      </c>
      <c r="E191" s="10"/>
      <c r="F191" s="10">
        <f t="shared" si="9"/>
        <v>952379.1720518824</v>
      </c>
      <c r="G191" s="10">
        <f t="shared" si="10"/>
        <v>283.5520842911547</v>
      </c>
      <c r="I191" s="37"/>
    </row>
    <row r="192" spans="1:9" ht="12.75">
      <c r="A192" s="44">
        <v>178</v>
      </c>
      <c r="B192" s="46"/>
      <c r="C192" s="10">
        <f t="shared" si="11"/>
        <v>952379.1720518824</v>
      </c>
      <c r="D192" s="10">
        <f t="shared" si="8"/>
        <v>3004.419345500022</v>
      </c>
      <c r="E192" s="10"/>
      <c r="F192" s="10">
        <f t="shared" si="9"/>
        <v>949374.7527063823</v>
      </c>
      <c r="G192" s="10">
        <f t="shared" si="10"/>
        <v>282.660654499978</v>
      </c>
      <c r="I192" s="37"/>
    </row>
    <row r="193" spans="1:9" ht="12.75">
      <c r="A193" s="44">
        <v>179</v>
      </c>
      <c r="B193" s="46"/>
      <c r="C193" s="10">
        <f t="shared" si="11"/>
        <v>949374.7527063823</v>
      </c>
      <c r="D193" s="10">
        <f t="shared" si="8"/>
        <v>3005.311039862428</v>
      </c>
      <c r="E193" s="10"/>
      <c r="F193" s="10">
        <f t="shared" si="9"/>
        <v>946369.4416665199</v>
      </c>
      <c r="G193" s="10">
        <f t="shared" si="10"/>
        <v>281.7689601375719</v>
      </c>
      <c r="I193" s="37"/>
    </row>
    <row r="194" spans="1:9" ht="12.75">
      <c r="A194" s="44">
        <v>180</v>
      </c>
      <c r="B194" s="46"/>
      <c r="C194" s="10">
        <f t="shared" si="11"/>
        <v>946369.4416665199</v>
      </c>
      <c r="D194" s="10">
        <f t="shared" si="8"/>
        <v>3006.202998874586</v>
      </c>
      <c r="E194" s="10">
        <f>SUM(D183:D194)</f>
        <v>36015.62487578757</v>
      </c>
      <c r="F194" s="10">
        <f t="shared" si="9"/>
        <v>943363.2386676453</v>
      </c>
      <c r="G194" s="10">
        <f t="shared" si="10"/>
        <v>280.87700112541415</v>
      </c>
      <c r="H194" s="10">
        <f>SUM(G183:G194)</f>
        <v>3429.3351242124277</v>
      </c>
      <c r="I194" s="37"/>
    </row>
    <row r="195" spans="1:9" ht="12.75">
      <c r="A195" s="44">
        <v>181</v>
      </c>
      <c r="B195" s="46"/>
      <c r="C195" s="10">
        <f t="shared" si="11"/>
        <v>943363.2386676453</v>
      </c>
      <c r="D195" s="10">
        <f t="shared" si="8"/>
        <v>3007.0952226150434</v>
      </c>
      <c r="E195" s="10"/>
      <c r="F195" s="10">
        <f t="shared" si="9"/>
        <v>940356.1434450302</v>
      </c>
      <c r="G195" s="10">
        <f t="shared" si="10"/>
        <v>279.98477738495643</v>
      </c>
      <c r="I195" s="37"/>
    </row>
    <row r="196" spans="1:9" ht="12.75">
      <c r="A196" s="44">
        <v>182</v>
      </c>
      <c r="B196" s="46"/>
      <c r="C196" s="10">
        <f t="shared" si="11"/>
        <v>940356.1434450302</v>
      </c>
      <c r="D196" s="10">
        <f t="shared" si="8"/>
        <v>3007.987711162369</v>
      </c>
      <c r="E196" s="10"/>
      <c r="F196" s="10">
        <f t="shared" si="9"/>
        <v>937348.1557338678</v>
      </c>
      <c r="G196" s="10">
        <f t="shared" si="10"/>
        <v>279.0922888376308</v>
      </c>
      <c r="I196" s="37"/>
    </row>
    <row r="197" spans="1:9" ht="12.75">
      <c r="A197" s="44">
        <v>183</v>
      </c>
      <c r="B197" s="46"/>
      <c r="C197" s="10">
        <f t="shared" si="11"/>
        <v>937348.1557338678</v>
      </c>
      <c r="D197" s="10">
        <f t="shared" si="8"/>
        <v>3008.8804645951573</v>
      </c>
      <c r="E197" s="10"/>
      <c r="F197" s="10">
        <f t="shared" si="9"/>
        <v>934339.2752692726</v>
      </c>
      <c r="G197" s="10">
        <f t="shared" si="10"/>
        <v>278.1995354048427</v>
      </c>
      <c r="I197" s="37"/>
    </row>
    <row r="198" spans="1:9" ht="12.75">
      <c r="A198" s="44">
        <v>184</v>
      </c>
      <c r="B198" s="46"/>
      <c r="C198" s="10">
        <f t="shared" si="11"/>
        <v>934339.2752692726</v>
      </c>
      <c r="D198" s="10">
        <f t="shared" si="8"/>
        <v>3009.773482992023</v>
      </c>
      <c r="E198" s="10"/>
      <c r="F198" s="10">
        <f t="shared" si="9"/>
        <v>931329.5017862805</v>
      </c>
      <c r="G198" s="10">
        <f t="shared" si="10"/>
        <v>277.3065170079767</v>
      </c>
      <c r="I198" s="37"/>
    </row>
    <row r="199" spans="1:9" ht="12.75">
      <c r="A199" s="44">
        <v>185</v>
      </c>
      <c r="B199" s="46"/>
      <c r="C199" s="10">
        <f t="shared" si="11"/>
        <v>931329.5017862805</v>
      </c>
      <c r="D199" s="10">
        <f t="shared" si="8"/>
        <v>3010.6667664316083</v>
      </c>
      <c r="E199" s="10"/>
      <c r="F199" s="10">
        <f t="shared" si="9"/>
        <v>928318.8350198489</v>
      </c>
      <c r="G199" s="10">
        <f t="shared" si="10"/>
        <v>276.4132335683916</v>
      </c>
      <c r="I199" s="37"/>
    </row>
    <row r="200" spans="1:9" ht="12.75">
      <c r="A200" s="44">
        <v>186</v>
      </c>
      <c r="B200" s="46"/>
      <c r="C200" s="10">
        <f t="shared" si="11"/>
        <v>928318.8350198489</v>
      </c>
      <c r="D200" s="10">
        <f t="shared" si="8"/>
        <v>3011.5603149925746</v>
      </c>
      <c r="E200" s="10"/>
      <c r="F200" s="10">
        <f t="shared" si="9"/>
        <v>925307.2747048563</v>
      </c>
      <c r="G200" s="10">
        <f t="shared" si="10"/>
        <v>275.5196850074255</v>
      </c>
      <c r="I200" s="37"/>
    </row>
    <row r="201" spans="1:9" ht="12.75">
      <c r="A201" s="44">
        <v>187</v>
      </c>
      <c r="B201" s="46"/>
      <c r="C201" s="10">
        <f t="shared" si="11"/>
        <v>925307.2747048563</v>
      </c>
      <c r="D201" s="10">
        <f t="shared" si="8"/>
        <v>3012.4541287536076</v>
      </c>
      <c r="E201" s="10"/>
      <c r="F201" s="10">
        <f t="shared" si="9"/>
        <v>922294.8205761027</v>
      </c>
      <c r="G201" s="10">
        <f t="shared" si="10"/>
        <v>274.6258712463924</v>
      </c>
      <c r="I201" s="37"/>
    </row>
    <row r="202" spans="1:13" ht="12.75">
      <c r="A202" s="44">
        <v>188</v>
      </c>
      <c r="B202" s="46"/>
      <c r="C202" s="10">
        <f t="shared" si="11"/>
        <v>922294.8205761027</v>
      </c>
      <c r="D202" s="10">
        <f t="shared" si="8"/>
        <v>3013.3482077934186</v>
      </c>
      <c r="E202" s="10"/>
      <c r="F202" s="10">
        <f t="shared" si="9"/>
        <v>919281.4723683093</v>
      </c>
      <c r="G202" s="10">
        <f t="shared" si="10"/>
        <v>273.73179220658125</v>
      </c>
      <c r="H202" s="10"/>
      <c r="I202" s="37"/>
      <c r="J202" s="10"/>
      <c r="K202" s="10"/>
      <c r="L202" s="10">
        <f>K202-K190</f>
        <v>0</v>
      </c>
      <c r="M202" s="54" t="e">
        <f>L202/K190</f>
        <v>#DIV/0!</v>
      </c>
    </row>
    <row r="203" spans="1:9" ht="12.75">
      <c r="A203" s="44">
        <v>189</v>
      </c>
      <c r="B203" s="46"/>
      <c r="C203" s="10">
        <f t="shared" si="11"/>
        <v>919281.4723683093</v>
      </c>
      <c r="D203" s="10">
        <f t="shared" si="8"/>
        <v>3014.2425521907417</v>
      </c>
      <c r="E203" s="10"/>
      <c r="F203" s="10">
        <f t="shared" si="9"/>
        <v>916267.2298161185</v>
      </c>
      <c r="G203" s="10">
        <f t="shared" si="10"/>
        <v>272.8374478092581</v>
      </c>
      <c r="I203" s="37"/>
    </row>
    <row r="204" spans="1:9" ht="12.75">
      <c r="A204" s="44">
        <v>190</v>
      </c>
      <c r="B204" s="46"/>
      <c r="C204" s="10">
        <f t="shared" si="11"/>
        <v>916267.2298161185</v>
      </c>
      <c r="D204" s="10">
        <f t="shared" si="8"/>
        <v>3015.137162024331</v>
      </c>
      <c r="E204" s="10"/>
      <c r="F204" s="10">
        <f t="shared" si="9"/>
        <v>913252.0926540941</v>
      </c>
      <c r="G204" s="10">
        <f t="shared" si="10"/>
        <v>271.9428379756691</v>
      </c>
      <c r="I204" s="37"/>
    </row>
    <row r="205" spans="1:9" ht="12.75">
      <c r="A205" s="44">
        <v>191</v>
      </c>
      <c r="B205" s="46"/>
      <c r="C205" s="10">
        <f t="shared" si="11"/>
        <v>913252.0926540941</v>
      </c>
      <c r="D205" s="10">
        <f t="shared" si="8"/>
        <v>3016.0320373729687</v>
      </c>
      <c r="E205" s="10"/>
      <c r="F205" s="10">
        <f t="shared" si="9"/>
        <v>910236.0606167212</v>
      </c>
      <c r="G205" s="10">
        <f t="shared" si="10"/>
        <v>271.04796262703104</v>
      </c>
      <c r="I205" s="37"/>
    </row>
    <row r="206" spans="1:9" ht="12.75">
      <c r="A206" s="44">
        <v>192</v>
      </c>
      <c r="B206" s="46"/>
      <c r="C206" s="10">
        <f t="shared" si="11"/>
        <v>910236.0606167212</v>
      </c>
      <c r="D206" s="10">
        <f t="shared" si="8"/>
        <v>3016.927178315457</v>
      </c>
      <c r="E206" s="10">
        <f>SUM(D195:D206)</f>
        <v>36144.1052292393</v>
      </c>
      <c r="F206" s="10">
        <f t="shared" si="9"/>
        <v>907219.1334384057</v>
      </c>
      <c r="G206" s="10">
        <f t="shared" si="10"/>
        <v>270.15282168454314</v>
      </c>
      <c r="H206" s="10">
        <f>SUM(G195:G206)</f>
        <v>3300.8547707606995</v>
      </c>
      <c r="I206" s="37"/>
    </row>
    <row r="207" spans="1:9" ht="12.75">
      <c r="A207" s="44">
        <v>193</v>
      </c>
      <c r="B207" s="46"/>
      <c r="C207" s="10">
        <f t="shared" si="11"/>
        <v>907219.1334384057</v>
      </c>
      <c r="D207" s="10">
        <f aca="true" t="shared" si="12" ref="D207:D270">-PPMT($C$6/12,A207,$C$7,$C$5)</f>
        <v>3017.8225849306227</v>
      </c>
      <c r="E207" s="10"/>
      <c r="F207" s="10">
        <f aca="true" t="shared" si="13" ref="F207:F270">C207-D207</f>
        <v>904201.3108534751</v>
      </c>
      <c r="G207" s="10">
        <f aca="true" t="shared" si="14" ref="G207:G270">-IPMT($C$6/12,A207,$C$7,$C$5)</f>
        <v>269.25741506937715</v>
      </c>
      <c r="I207" s="37"/>
    </row>
    <row r="208" spans="1:9" ht="12.75">
      <c r="A208" s="44">
        <v>194</v>
      </c>
      <c r="B208" s="46"/>
      <c r="C208" s="10">
        <f aca="true" t="shared" si="15" ref="C208:C271">F207</f>
        <v>904201.3108534751</v>
      </c>
      <c r="D208" s="10">
        <f t="shared" si="12"/>
        <v>3018.718257297316</v>
      </c>
      <c r="E208" s="10"/>
      <c r="F208" s="10">
        <f t="shared" si="13"/>
        <v>901182.5925961778</v>
      </c>
      <c r="G208" s="10">
        <f t="shared" si="14"/>
        <v>268.36174270268367</v>
      </c>
      <c r="I208" s="37"/>
    </row>
    <row r="209" spans="1:9" ht="12.75">
      <c r="A209" s="44">
        <v>195</v>
      </c>
      <c r="B209" s="46"/>
      <c r="C209" s="10">
        <f t="shared" si="15"/>
        <v>901182.5925961778</v>
      </c>
      <c r="D209" s="10">
        <f t="shared" si="12"/>
        <v>3019.6141954944105</v>
      </c>
      <c r="E209" s="10"/>
      <c r="F209" s="10">
        <f t="shared" si="13"/>
        <v>898162.9784006834</v>
      </c>
      <c r="G209" s="10">
        <f t="shared" si="14"/>
        <v>267.46580450558946</v>
      </c>
      <c r="I209" s="37"/>
    </row>
    <row r="210" spans="1:9" ht="12.75">
      <c r="A210" s="44">
        <v>196</v>
      </c>
      <c r="B210" s="46"/>
      <c r="C210" s="10">
        <f t="shared" si="15"/>
        <v>898162.9784006834</v>
      </c>
      <c r="D210" s="10">
        <f t="shared" si="12"/>
        <v>3020.510399600804</v>
      </c>
      <c r="E210" s="10"/>
      <c r="F210" s="10">
        <f t="shared" si="13"/>
        <v>895142.4680010825</v>
      </c>
      <c r="G210" s="10">
        <f t="shared" si="14"/>
        <v>266.5696003991963</v>
      </c>
      <c r="I210" s="37"/>
    </row>
    <row r="211" spans="1:9" ht="12.75">
      <c r="A211" s="44">
        <v>197</v>
      </c>
      <c r="B211" s="46"/>
      <c r="C211" s="10">
        <f t="shared" si="15"/>
        <v>895142.4680010825</v>
      </c>
      <c r="D211" s="10">
        <f t="shared" si="12"/>
        <v>3021.406869695415</v>
      </c>
      <c r="E211" s="10"/>
      <c r="F211" s="10">
        <f t="shared" si="13"/>
        <v>892121.0611313871</v>
      </c>
      <c r="G211" s="10">
        <f t="shared" si="14"/>
        <v>265.673130304585</v>
      </c>
      <c r="I211" s="37"/>
    </row>
    <row r="212" spans="1:9" ht="12.75">
      <c r="A212" s="44">
        <v>198</v>
      </c>
      <c r="B212" s="46"/>
      <c r="C212" s="10">
        <f t="shared" si="15"/>
        <v>892121.0611313871</v>
      </c>
      <c r="D212" s="10">
        <f t="shared" si="12"/>
        <v>3022.3036058571884</v>
      </c>
      <c r="E212" s="10"/>
      <c r="F212" s="10">
        <f t="shared" si="13"/>
        <v>889098.75752553</v>
      </c>
      <c r="G212" s="10">
        <f t="shared" si="14"/>
        <v>264.7763941428115</v>
      </c>
      <c r="I212" s="37"/>
    </row>
    <row r="213" spans="1:9" ht="12.75">
      <c r="A213" s="44">
        <v>199</v>
      </c>
      <c r="B213" s="46"/>
      <c r="C213" s="10">
        <f t="shared" si="15"/>
        <v>889098.75752553</v>
      </c>
      <c r="D213" s="10">
        <f t="shared" si="12"/>
        <v>3023.2006081650907</v>
      </c>
      <c r="E213" s="10"/>
      <c r="F213" s="10">
        <f t="shared" si="13"/>
        <v>886075.5569173648</v>
      </c>
      <c r="G213" s="10">
        <f t="shared" si="14"/>
        <v>263.8793918349092</v>
      </c>
      <c r="I213" s="37"/>
    </row>
    <row r="214" spans="1:13" ht="12.75">
      <c r="A214" s="44">
        <v>200</v>
      </c>
      <c r="B214" s="46"/>
      <c r="C214" s="10">
        <f t="shared" si="15"/>
        <v>886075.5569173648</v>
      </c>
      <c r="D214" s="10">
        <f t="shared" si="12"/>
        <v>3024.097876698114</v>
      </c>
      <c r="E214" s="10"/>
      <c r="F214" s="10">
        <f t="shared" si="13"/>
        <v>883051.4590406667</v>
      </c>
      <c r="G214" s="10">
        <f t="shared" si="14"/>
        <v>262.982123301886</v>
      </c>
      <c r="H214" s="10"/>
      <c r="I214" s="37"/>
      <c r="J214" s="10"/>
      <c r="K214" s="10"/>
      <c r="L214" s="10">
        <f>K214-K202</f>
        <v>0</v>
      </c>
      <c r="M214" s="54" t="e">
        <f>L214/K202</f>
        <v>#DIV/0!</v>
      </c>
    </row>
    <row r="215" spans="1:9" ht="12.75">
      <c r="A215" s="44">
        <v>201</v>
      </c>
      <c r="B215" s="46"/>
      <c r="C215" s="10">
        <f t="shared" si="15"/>
        <v>883051.4590406667</v>
      </c>
      <c r="D215" s="10">
        <f t="shared" si="12"/>
        <v>3024.9954115352707</v>
      </c>
      <c r="E215" s="10"/>
      <c r="F215" s="10">
        <f t="shared" si="13"/>
        <v>880026.4636291314</v>
      </c>
      <c r="G215" s="10">
        <f t="shared" si="14"/>
        <v>262.0845884647291</v>
      </c>
      <c r="I215" s="37"/>
    </row>
    <row r="216" spans="1:9" ht="12.75">
      <c r="A216" s="44">
        <v>202</v>
      </c>
      <c r="B216" s="46"/>
      <c r="C216" s="10">
        <f t="shared" si="15"/>
        <v>880026.4636291314</v>
      </c>
      <c r="D216" s="10">
        <f t="shared" si="12"/>
        <v>3025.8932127556004</v>
      </c>
      <c r="E216" s="10"/>
      <c r="F216" s="10">
        <f t="shared" si="13"/>
        <v>877000.5704163759</v>
      </c>
      <c r="G216" s="10">
        <f t="shared" si="14"/>
        <v>261.1867872443995</v>
      </c>
      <c r="I216" s="37"/>
    </row>
    <row r="217" spans="1:9" ht="12.75">
      <c r="A217" s="44">
        <v>203</v>
      </c>
      <c r="B217" s="46"/>
      <c r="C217" s="10">
        <f t="shared" si="15"/>
        <v>877000.5704163759</v>
      </c>
      <c r="D217" s="10">
        <f t="shared" si="12"/>
        <v>3026.7912804381617</v>
      </c>
      <c r="E217" s="10"/>
      <c r="F217" s="10">
        <f t="shared" si="13"/>
        <v>873973.7791359377</v>
      </c>
      <c r="G217" s="10">
        <f t="shared" si="14"/>
        <v>260.2887195618382</v>
      </c>
      <c r="I217" s="37"/>
    </row>
    <row r="218" spans="1:9" ht="12.75">
      <c r="A218" s="44">
        <v>204</v>
      </c>
      <c r="B218" s="46"/>
      <c r="C218" s="10">
        <f t="shared" si="15"/>
        <v>873973.7791359377</v>
      </c>
      <c r="D218" s="10">
        <f t="shared" si="12"/>
        <v>3027.6896146620406</v>
      </c>
      <c r="E218" s="10">
        <f>SUM(D207:D218)</f>
        <v>36273.04391713003</v>
      </c>
      <c r="F218" s="10">
        <f t="shared" si="13"/>
        <v>870946.0895212756</v>
      </c>
      <c r="G218" s="10">
        <f t="shared" si="14"/>
        <v>259.3903853379594</v>
      </c>
      <c r="H218" s="10">
        <f>SUM(G207:G218)</f>
        <v>3171.9160828699646</v>
      </c>
      <c r="I218" s="37"/>
    </row>
    <row r="219" spans="1:9" ht="12.75">
      <c r="A219" s="44">
        <v>205</v>
      </c>
      <c r="B219" s="46"/>
      <c r="C219" s="10">
        <f t="shared" si="15"/>
        <v>870946.0895212756</v>
      </c>
      <c r="D219" s="10">
        <f t="shared" si="12"/>
        <v>3028.5882155063446</v>
      </c>
      <c r="E219" s="10"/>
      <c r="F219" s="10">
        <f t="shared" si="13"/>
        <v>867917.5013057692</v>
      </c>
      <c r="G219" s="10">
        <f t="shared" si="14"/>
        <v>258.49178449365525</v>
      </c>
      <c r="I219" s="37"/>
    </row>
    <row r="220" spans="1:9" ht="12.75">
      <c r="A220" s="44">
        <v>206</v>
      </c>
      <c r="B220" s="46"/>
      <c r="C220" s="10">
        <f t="shared" si="15"/>
        <v>867917.5013057692</v>
      </c>
      <c r="D220" s="10">
        <f t="shared" si="12"/>
        <v>3029.487083050204</v>
      </c>
      <c r="E220" s="10"/>
      <c r="F220" s="10">
        <f t="shared" si="13"/>
        <v>864888.014222719</v>
      </c>
      <c r="G220" s="10">
        <f t="shared" si="14"/>
        <v>257.59291694979567</v>
      </c>
      <c r="I220" s="37"/>
    </row>
    <row r="221" spans="1:9" ht="12.75">
      <c r="A221" s="44">
        <v>207</v>
      </c>
      <c r="B221" s="46"/>
      <c r="C221" s="10">
        <f t="shared" si="15"/>
        <v>864888.014222719</v>
      </c>
      <c r="D221" s="10">
        <f t="shared" si="12"/>
        <v>3030.3862173727757</v>
      </c>
      <c r="E221" s="10"/>
      <c r="F221" s="10">
        <f t="shared" si="13"/>
        <v>861857.6280053463</v>
      </c>
      <c r="G221" s="10">
        <f t="shared" si="14"/>
        <v>256.69378262722427</v>
      </c>
      <c r="I221" s="37"/>
    </row>
    <row r="222" spans="1:9" ht="12.75">
      <c r="A222" s="44">
        <v>208</v>
      </c>
      <c r="B222" s="46"/>
      <c r="C222" s="10">
        <f t="shared" si="15"/>
        <v>861857.6280053463</v>
      </c>
      <c r="D222" s="10">
        <f t="shared" si="12"/>
        <v>3031.2856185532373</v>
      </c>
      <c r="E222" s="10"/>
      <c r="F222" s="10">
        <f t="shared" si="13"/>
        <v>858826.342386793</v>
      </c>
      <c r="G222" s="10">
        <f t="shared" si="14"/>
        <v>255.7943814467628</v>
      </c>
      <c r="I222" s="37"/>
    </row>
    <row r="223" spans="1:9" ht="12.75">
      <c r="A223" s="44">
        <v>209</v>
      </c>
      <c r="B223" s="46"/>
      <c r="C223" s="10">
        <f t="shared" si="15"/>
        <v>858826.342386793</v>
      </c>
      <c r="D223" s="10">
        <f t="shared" si="12"/>
        <v>3032.1852866707904</v>
      </c>
      <c r="E223" s="10"/>
      <c r="F223" s="10">
        <f t="shared" si="13"/>
        <v>855794.1571001222</v>
      </c>
      <c r="G223" s="10">
        <f t="shared" si="14"/>
        <v>254.89471332920962</v>
      </c>
      <c r="I223" s="37"/>
    </row>
    <row r="224" spans="1:9" ht="12.75">
      <c r="A224" s="44">
        <v>210</v>
      </c>
      <c r="B224" s="46"/>
      <c r="C224" s="10">
        <f t="shared" si="15"/>
        <v>855794.1571001222</v>
      </c>
      <c r="D224" s="10">
        <f t="shared" si="12"/>
        <v>3033.0852218046603</v>
      </c>
      <c r="E224" s="10"/>
      <c r="F224" s="10">
        <f t="shared" si="13"/>
        <v>852761.0718783175</v>
      </c>
      <c r="G224" s="10">
        <f t="shared" si="14"/>
        <v>253.99477819533988</v>
      </c>
      <c r="I224" s="37"/>
    </row>
    <row r="225" spans="1:9" ht="12.75">
      <c r="A225" s="44">
        <v>211</v>
      </c>
      <c r="B225" s="46"/>
      <c r="C225" s="10">
        <f t="shared" si="15"/>
        <v>852761.0718783175</v>
      </c>
      <c r="D225" s="10">
        <f t="shared" si="12"/>
        <v>3033.985424034096</v>
      </c>
      <c r="E225" s="10"/>
      <c r="F225" s="10">
        <f t="shared" si="13"/>
        <v>849727.0864542834</v>
      </c>
      <c r="G225" s="10">
        <f t="shared" si="14"/>
        <v>253.09457596590394</v>
      </c>
      <c r="I225" s="37"/>
    </row>
    <row r="226" spans="1:13" ht="12.75">
      <c r="A226" s="44">
        <v>212</v>
      </c>
      <c r="B226" s="46"/>
      <c r="C226" s="10">
        <f t="shared" si="15"/>
        <v>849727.0864542834</v>
      </c>
      <c r="D226" s="10">
        <f t="shared" si="12"/>
        <v>3034.8858934383707</v>
      </c>
      <c r="E226" s="10"/>
      <c r="F226" s="10">
        <f t="shared" si="13"/>
        <v>846692.2005608451</v>
      </c>
      <c r="G226" s="10">
        <f t="shared" si="14"/>
        <v>252.19410656162933</v>
      </c>
      <c r="H226" s="10"/>
      <c r="I226" s="37"/>
      <c r="J226" s="10"/>
      <c r="K226" s="10"/>
      <c r="L226" s="10">
        <f>K226-K214</f>
        <v>0</v>
      </c>
      <c r="M226" s="54" t="e">
        <f>L226/K214</f>
        <v>#DIV/0!</v>
      </c>
    </row>
    <row r="227" spans="1:9" ht="12.75">
      <c r="A227" s="44">
        <v>213</v>
      </c>
      <c r="B227" s="46"/>
      <c r="C227" s="10">
        <f t="shared" si="15"/>
        <v>846692.2005608451</v>
      </c>
      <c r="D227" s="10">
        <f t="shared" si="12"/>
        <v>3035.78663009678</v>
      </c>
      <c r="E227" s="10"/>
      <c r="F227" s="10">
        <f t="shared" si="13"/>
        <v>843656.4139307484</v>
      </c>
      <c r="G227" s="10">
        <f t="shared" si="14"/>
        <v>251.29336990322025</v>
      </c>
      <c r="I227" s="37"/>
    </row>
    <row r="228" spans="1:9" ht="12.75">
      <c r="A228" s="44">
        <v>214</v>
      </c>
      <c r="B228" s="46"/>
      <c r="C228" s="10">
        <f t="shared" si="15"/>
        <v>843656.4139307484</v>
      </c>
      <c r="D228" s="10">
        <f t="shared" si="12"/>
        <v>3036.687634088642</v>
      </c>
      <c r="E228" s="10"/>
      <c r="F228" s="10">
        <f t="shared" si="13"/>
        <v>840619.7262966597</v>
      </c>
      <c r="G228" s="10">
        <f t="shared" si="14"/>
        <v>250.39236591135793</v>
      </c>
      <c r="I228" s="37"/>
    </row>
    <row r="229" spans="1:9" ht="12.75">
      <c r="A229" s="44">
        <v>215</v>
      </c>
      <c r="B229" s="46"/>
      <c r="C229" s="10">
        <f t="shared" si="15"/>
        <v>840619.7262966597</v>
      </c>
      <c r="D229" s="10">
        <f t="shared" si="12"/>
        <v>3037.5889054933014</v>
      </c>
      <c r="E229" s="10"/>
      <c r="F229" s="10">
        <f t="shared" si="13"/>
        <v>837582.1373911664</v>
      </c>
      <c r="G229" s="10">
        <f t="shared" si="14"/>
        <v>249.4910945066985</v>
      </c>
      <c r="I229" s="37"/>
    </row>
    <row r="230" spans="1:9" ht="12.75">
      <c r="A230" s="44">
        <v>216</v>
      </c>
      <c r="B230" s="46"/>
      <c r="C230" s="10">
        <f t="shared" si="15"/>
        <v>837582.1373911664</v>
      </c>
      <c r="D230" s="10">
        <f t="shared" si="12"/>
        <v>3038.490444390124</v>
      </c>
      <c r="E230" s="10">
        <f>SUM(D219:D230)</f>
        <v>36402.44257449933</v>
      </c>
      <c r="F230" s="10">
        <f t="shared" si="13"/>
        <v>834543.6469467763</v>
      </c>
      <c r="G230" s="10">
        <f t="shared" si="14"/>
        <v>248.58955560987584</v>
      </c>
      <c r="H230" s="10">
        <f>SUM(G219:G230)</f>
        <v>3042.517425500673</v>
      </c>
      <c r="I230" s="37"/>
    </row>
    <row r="231" spans="1:9" ht="12.75">
      <c r="A231" s="44">
        <v>217</v>
      </c>
      <c r="B231" s="46"/>
      <c r="C231" s="10">
        <f t="shared" si="15"/>
        <v>834543.6469467763</v>
      </c>
      <c r="D231" s="10">
        <f t="shared" si="12"/>
        <v>3039.3922508585</v>
      </c>
      <c r="E231" s="10"/>
      <c r="F231" s="10">
        <f t="shared" si="13"/>
        <v>831504.2546959178</v>
      </c>
      <c r="G231" s="10">
        <f t="shared" si="14"/>
        <v>247.68774914149975</v>
      </c>
      <c r="I231" s="37"/>
    </row>
    <row r="232" spans="1:9" ht="12.75">
      <c r="A232" s="44">
        <v>218</v>
      </c>
      <c r="B232" s="46"/>
      <c r="C232" s="10">
        <f t="shared" si="15"/>
        <v>831504.2546959178</v>
      </c>
      <c r="D232" s="10">
        <f t="shared" si="12"/>
        <v>3040.2943249778436</v>
      </c>
      <c r="E232" s="10"/>
      <c r="F232" s="10">
        <f t="shared" si="13"/>
        <v>828463.96037094</v>
      </c>
      <c r="G232" s="10">
        <f t="shared" si="14"/>
        <v>246.78567502215608</v>
      </c>
      <c r="I232" s="37"/>
    </row>
    <row r="233" spans="1:9" ht="12.75">
      <c r="A233" s="44">
        <v>219</v>
      </c>
      <c r="B233" s="46"/>
      <c r="C233" s="10">
        <f t="shared" si="15"/>
        <v>828463.96037094</v>
      </c>
      <c r="D233" s="10">
        <f t="shared" si="12"/>
        <v>3041.196666827592</v>
      </c>
      <c r="E233" s="10"/>
      <c r="F233" s="10">
        <f t="shared" si="13"/>
        <v>825422.7637041125</v>
      </c>
      <c r="G233" s="10">
        <f t="shared" si="14"/>
        <v>245.88333317240836</v>
      </c>
      <c r="I233" s="37"/>
    </row>
    <row r="234" spans="1:9" ht="12.75">
      <c r="A234" s="44">
        <v>220</v>
      </c>
      <c r="B234" s="46"/>
      <c r="C234" s="10">
        <f t="shared" si="15"/>
        <v>825422.7637041125</v>
      </c>
      <c r="D234" s="10">
        <f t="shared" si="12"/>
        <v>3042.099276487205</v>
      </c>
      <c r="E234" s="10"/>
      <c r="F234" s="10">
        <f t="shared" si="13"/>
        <v>822380.6644276252</v>
      </c>
      <c r="G234" s="10">
        <f t="shared" si="14"/>
        <v>244.9807235127949</v>
      </c>
      <c r="I234" s="37"/>
    </row>
    <row r="235" spans="1:9" ht="12.75">
      <c r="A235" s="44">
        <v>221</v>
      </c>
      <c r="B235" s="46"/>
      <c r="C235" s="10">
        <f t="shared" si="15"/>
        <v>822380.6644276252</v>
      </c>
      <c r="D235" s="10">
        <f t="shared" si="12"/>
        <v>3043.0021540361686</v>
      </c>
      <c r="E235" s="10"/>
      <c r="F235" s="10">
        <f t="shared" si="13"/>
        <v>819337.662273589</v>
      </c>
      <c r="G235" s="10">
        <f t="shared" si="14"/>
        <v>244.07784596383124</v>
      </c>
      <c r="I235" s="37"/>
    </row>
    <row r="236" spans="1:9" ht="12.75">
      <c r="A236" s="44">
        <v>222</v>
      </c>
      <c r="B236" s="46"/>
      <c r="C236" s="10">
        <f t="shared" si="15"/>
        <v>819337.662273589</v>
      </c>
      <c r="D236" s="10">
        <f t="shared" si="12"/>
        <v>3043.9052995539887</v>
      </c>
      <c r="E236" s="10"/>
      <c r="F236" s="10">
        <f t="shared" si="13"/>
        <v>816293.7569740351</v>
      </c>
      <c r="G236" s="10">
        <f t="shared" si="14"/>
        <v>243.1747004460114</v>
      </c>
      <c r="I236" s="37"/>
    </row>
    <row r="237" spans="1:9" ht="12.75">
      <c r="A237" s="44">
        <v>223</v>
      </c>
      <c r="B237" s="46"/>
      <c r="C237" s="10">
        <f t="shared" si="15"/>
        <v>816293.7569740351</v>
      </c>
      <c r="D237" s="10">
        <f t="shared" si="12"/>
        <v>3044.8087131201996</v>
      </c>
      <c r="E237" s="10"/>
      <c r="F237" s="10">
        <f t="shared" si="13"/>
        <v>813248.9482609149</v>
      </c>
      <c r="G237" s="10">
        <f t="shared" si="14"/>
        <v>242.27128687980024</v>
      </c>
      <c r="I237" s="37"/>
    </row>
    <row r="238" spans="1:13" ht="12.75">
      <c r="A238" s="44">
        <v>224</v>
      </c>
      <c r="B238" s="46"/>
      <c r="C238" s="10">
        <f t="shared" si="15"/>
        <v>813248.9482609149</v>
      </c>
      <c r="D238" s="10">
        <f t="shared" si="12"/>
        <v>3045.7123948143544</v>
      </c>
      <c r="E238" s="10"/>
      <c r="F238" s="10">
        <f t="shared" si="13"/>
        <v>810203.2358661005</v>
      </c>
      <c r="G238" s="10">
        <f t="shared" si="14"/>
        <v>241.36760518564552</v>
      </c>
      <c r="H238" s="10"/>
      <c r="I238" s="37"/>
      <c r="J238" s="10"/>
      <c r="K238" s="10"/>
      <c r="L238" s="10">
        <f>K238-K226</f>
        <v>0</v>
      </c>
      <c r="M238" s="54" t="e">
        <f>L238/K226</f>
        <v>#DIV/0!</v>
      </c>
    </row>
    <row r="239" spans="1:9" ht="12.75">
      <c r="A239" s="44">
        <v>225</v>
      </c>
      <c r="B239" s="46"/>
      <c r="C239" s="10">
        <f t="shared" si="15"/>
        <v>810203.2358661005</v>
      </c>
      <c r="D239" s="10">
        <f t="shared" si="12"/>
        <v>3046.616344716033</v>
      </c>
      <c r="E239" s="10"/>
      <c r="F239" s="10">
        <f t="shared" si="13"/>
        <v>807156.6195213845</v>
      </c>
      <c r="G239" s="10">
        <f t="shared" si="14"/>
        <v>240.4636552839672</v>
      </c>
      <c r="I239" s="37"/>
    </row>
    <row r="240" spans="1:9" ht="12.75">
      <c r="A240" s="44">
        <v>226</v>
      </c>
      <c r="B240" s="46"/>
      <c r="C240" s="10">
        <f t="shared" si="15"/>
        <v>807156.6195213845</v>
      </c>
      <c r="D240" s="10">
        <f t="shared" si="12"/>
        <v>3047.5205629048373</v>
      </c>
      <c r="E240" s="10"/>
      <c r="F240" s="10">
        <f t="shared" si="13"/>
        <v>804109.0989584796</v>
      </c>
      <c r="G240" s="10">
        <f t="shared" si="14"/>
        <v>239.55943709516242</v>
      </c>
      <c r="I240" s="37"/>
    </row>
    <row r="241" spans="1:9" ht="12.75">
      <c r="A241" s="44">
        <v>227</v>
      </c>
      <c r="B241" s="46"/>
      <c r="C241" s="10">
        <f t="shared" si="15"/>
        <v>804109.0989584796</v>
      </c>
      <c r="D241" s="10">
        <f t="shared" si="12"/>
        <v>3048.425049460393</v>
      </c>
      <c r="E241" s="10"/>
      <c r="F241" s="10">
        <f t="shared" si="13"/>
        <v>801060.6739090192</v>
      </c>
      <c r="G241" s="10">
        <f t="shared" si="14"/>
        <v>238.65495053960683</v>
      </c>
      <c r="I241" s="37"/>
    </row>
    <row r="242" spans="1:9" ht="12.75">
      <c r="A242" s="44">
        <v>228</v>
      </c>
      <c r="B242" s="46"/>
      <c r="C242" s="10">
        <f t="shared" si="15"/>
        <v>801060.6739090192</v>
      </c>
      <c r="D242" s="10">
        <f t="shared" si="12"/>
        <v>3049.329804462351</v>
      </c>
      <c r="E242" s="10">
        <f>SUM(D231:D242)</f>
        <v>36532.30284221947</v>
      </c>
      <c r="F242" s="10">
        <f t="shared" si="13"/>
        <v>798011.3441045568</v>
      </c>
      <c r="G242" s="10">
        <f t="shared" si="14"/>
        <v>237.75019553764886</v>
      </c>
      <c r="H242" s="10">
        <f>SUM(G231:G242)</f>
        <v>2912.657157780533</v>
      </c>
      <c r="I242" s="37"/>
    </row>
    <row r="243" spans="1:9" ht="12.75">
      <c r="A243" s="44">
        <v>229</v>
      </c>
      <c r="B243" s="46"/>
      <c r="C243" s="10">
        <f t="shared" si="15"/>
        <v>798011.3441045568</v>
      </c>
      <c r="D243" s="10">
        <f t="shared" si="12"/>
        <v>3050.2348279903845</v>
      </c>
      <c r="E243" s="10"/>
      <c r="F243" s="10">
        <f t="shared" si="13"/>
        <v>794961.1092765664</v>
      </c>
      <c r="G243" s="10">
        <f t="shared" si="14"/>
        <v>236.84517200961528</v>
      </c>
      <c r="I243" s="37"/>
    </row>
    <row r="244" spans="1:9" ht="12.75">
      <c r="A244" s="44">
        <v>230</v>
      </c>
      <c r="B244" s="46"/>
      <c r="C244" s="10">
        <f t="shared" si="15"/>
        <v>794961.1092765664</v>
      </c>
      <c r="D244" s="10">
        <f t="shared" si="12"/>
        <v>3051.1401201241897</v>
      </c>
      <c r="E244" s="10"/>
      <c r="F244" s="10">
        <f t="shared" si="13"/>
        <v>791909.9691564422</v>
      </c>
      <c r="G244" s="10">
        <f t="shared" si="14"/>
        <v>235.9398798758103</v>
      </c>
      <c r="I244" s="37"/>
    </row>
    <row r="245" spans="1:9" ht="12.75">
      <c r="A245" s="44">
        <v>231</v>
      </c>
      <c r="B245" s="46"/>
      <c r="C245" s="10">
        <f t="shared" si="15"/>
        <v>791909.9691564422</v>
      </c>
      <c r="D245" s="10">
        <f t="shared" si="12"/>
        <v>3052.0456809434872</v>
      </c>
      <c r="E245" s="10"/>
      <c r="F245" s="10">
        <f t="shared" si="13"/>
        <v>788857.9234754987</v>
      </c>
      <c r="G245" s="10">
        <f t="shared" si="14"/>
        <v>235.03431905651263</v>
      </c>
      <c r="I245" s="37"/>
    </row>
    <row r="246" spans="1:9" ht="12.75">
      <c r="A246" s="44">
        <v>232</v>
      </c>
      <c r="B246" s="46"/>
      <c r="C246" s="10">
        <f t="shared" si="15"/>
        <v>788857.9234754987</v>
      </c>
      <c r="D246" s="10">
        <f t="shared" si="12"/>
        <v>3052.951510528022</v>
      </c>
      <c r="E246" s="10"/>
      <c r="F246" s="10">
        <f t="shared" si="13"/>
        <v>785804.9719649707</v>
      </c>
      <c r="G246" s="10">
        <f t="shared" si="14"/>
        <v>234.12848947197773</v>
      </c>
      <c r="I246" s="37"/>
    </row>
    <row r="247" spans="1:9" ht="12.75">
      <c r="A247" s="44">
        <v>233</v>
      </c>
      <c r="B247" s="46"/>
      <c r="C247" s="10">
        <f t="shared" si="15"/>
        <v>785804.9719649707</v>
      </c>
      <c r="D247" s="10">
        <f t="shared" si="12"/>
        <v>3053.8576089575613</v>
      </c>
      <c r="E247" s="10"/>
      <c r="F247" s="10">
        <f t="shared" si="13"/>
        <v>782751.1143560131</v>
      </c>
      <c r="G247" s="10">
        <f t="shared" si="14"/>
        <v>233.22239104243874</v>
      </c>
      <c r="I247" s="37"/>
    </row>
    <row r="248" spans="1:9" ht="12.75">
      <c r="A248" s="44">
        <v>234</v>
      </c>
      <c r="B248" s="46"/>
      <c r="C248" s="10">
        <f t="shared" si="15"/>
        <v>782751.1143560131</v>
      </c>
      <c r="D248" s="10">
        <f t="shared" si="12"/>
        <v>3054.763976311898</v>
      </c>
      <c r="E248" s="10"/>
      <c r="F248" s="10">
        <f t="shared" si="13"/>
        <v>779696.3503797012</v>
      </c>
      <c r="G248" s="10">
        <f t="shared" si="14"/>
        <v>232.31602368810167</v>
      </c>
      <c r="I248" s="37"/>
    </row>
    <row r="249" spans="1:9" ht="12.75">
      <c r="A249" s="44">
        <v>235</v>
      </c>
      <c r="B249" s="46"/>
      <c r="C249" s="10">
        <f t="shared" si="15"/>
        <v>779696.3503797012</v>
      </c>
      <c r="D249" s="10">
        <f t="shared" si="12"/>
        <v>3055.6706126708464</v>
      </c>
      <c r="E249" s="10"/>
      <c r="F249" s="10">
        <f t="shared" si="13"/>
        <v>776640.6797670304</v>
      </c>
      <c r="G249" s="10">
        <f t="shared" si="14"/>
        <v>231.40938732915342</v>
      </c>
      <c r="I249" s="37"/>
    </row>
    <row r="250" spans="1:13" ht="12.75">
      <c r="A250" s="44">
        <v>236</v>
      </c>
      <c r="B250" s="46"/>
      <c r="C250" s="10">
        <f t="shared" si="15"/>
        <v>776640.6797670304</v>
      </c>
      <c r="D250" s="10">
        <f t="shared" si="12"/>
        <v>3056.5775181142453</v>
      </c>
      <c r="E250" s="10"/>
      <c r="F250" s="10">
        <f t="shared" si="13"/>
        <v>773584.1022489162</v>
      </c>
      <c r="G250" s="10">
        <f t="shared" si="14"/>
        <v>230.5024818857546</v>
      </c>
      <c r="H250" s="10"/>
      <c r="I250" s="37"/>
      <c r="J250" s="10"/>
      <c r="K250" s="10"/>
      <c r="L250" s="10">
        <f>K250-K238</f>
        <v>0</v>
      </c>
      <c r="M250" s="54" t="e">
        <f>L250/K238</f>
        <v>#DIV/0!</v>
      </c>
    </row>
    <row r="251" spans="1:9" ht="12.75">
      <c r="A251" s="44">
        <v>237</v>
      </c>
      <c r="B251" s="46"/>
      <c r="C251" s="10">
        <f t="shared" si="15"/>
        <v>773584.1022489162</v>
      </c>
      <c r="D251" s="10">
        <f t="shared" si="12"/>
        <v>3057.4846927219587</v>
      </c>
      <c r="E251" s="10"/>
      <c r="F251" s="10">
        <f t="shared" si="13"/>
        <v>770526.6175561942</v>
      </c>
      <c r="G251" s="10">
        <f t="shared" si="14"/>
        <v>229.59530727804136</v>
      </c>
      <c r="I251" s="37"/>
    </row>
    <row r="252" spans="1:9" ht="12.75">
      <c r="A252" s="44">
        <v>238</v>
      </c>
      <c r="B252" s="46"/>
      <c r="C252" s="10">
        <f t="shared" si="15"/>
        <v>770526.6175561942</v>
      </c>
      <c r="D252" s="10">
        <f t="shared" si="12"/>
        <v>3058.392136573871</v>
      </c>
      <c r="E252" s="10"/>
      <c r="F252" s="10">
        <f t="shared" si="13"/>
        <v>767468.2254196203</v>
      </c>
      <c r="G252" s="10">
        <f t="shared" si="14"/>
        <v>228.68786342612873</v>
      </c>
      <c r="I252" s="37"/>
    </row>
    <row r="253" spans="1:9" ht="12.75">
      <c r="A253" s="44">
        <v>239</v>
      </c>
      <c r="B253" s="46"/>
      <c r="C253" s="10">
        <f t="shared" si="15"/>
        <v>767468.2254196203</v>
      </c>
      <c r="D253" s="10">
        <f t="shared" si="12"/>
        <v>3059.2998497498943</v>
      </c>
      <c r="E253" s="10"/>
      <c r="F253" s="10">
        <f t="shared" si="13"/>
        <v>764408.9255698704</v>
      </c>
      <c r="G253" s="10">
        <f t="shared" si="14"/>
        <v>227.78015025010546</v>
      </c>
      <c r="I253" s="37"/>
    </row>
    <row r="254" spans="1:9" ht="12.75">
      <c r="A254" s="44">
        <v>240</v>
      </c>
      <c r="B254" s="46"/>
      <c r="C254" s="10">
        <f t="shared" si="15"/>
        <v>764408.9255698704</v>
      </c>
      <c r="D254" s="10">
        <f t="shared" si="12"/>
        <v>3060.2078323299615</v>
      </c>
      <c r="E254" s="10">
        <f>SUM(D243:D254)</f>
        <v>36662.626367016324</v>
      </c>
      <c r="F254" s="10">
        <f t="shared" si="13"/>
        <v>761348.7177375405</v>
      </c>
      <c r="G254" s="10">
        <f t="shared" si="14"/>
        <v>226.87216767003832</v>
      </c>
      <c r="H254" s="10">
        <f>SUM(G243:G254)</f>
        <v>2782.3336329836784</v>
      </c>
      <c r="I254" s="37"/>
    </row>
    <row r="255" spans="1:9" ht="12.75">
      <c r="A255" s="44">
        <v>241</v>
      </c>
      <c r="B255" s="46"/>
      <c r="C255" s="10">
        <f t="shared" si="15"/>
        <v>761348.7177375405</v>
      </c>
      <c r="D255" s="10">
        <f t="shared" si="12"/>
        <v>3061.1160843940306</v>
      </c>
      <c r="E255" s="10"/>
      <c r="F255" s="10">
        <f t="shared" si="13"/>
        <v>758287.6016531464</v>
      </c>
      <c r="G255" s="10">
        <f t="shared" si="14"/>
        <v>225.96391560596936</v>
      </c>
      <c r="I255" s="37"/>
    </row>
    <row r="256" spans="1:9" ht="12.75">
      <c r="A256" s="44">
        <v>242</v>
      </c>
      <c r="B256" s="46"/>
      <c r="C256" s="10">
        <f t="shared" si="15"/>
        <v>758287.6016531464</v>
      </c>
      <c r="D256" s="10">
        <f t="shared" si="12"/>
        <v>3062.0246060220825</v>
      </c>
      <c r="E256" s="10"/>
      <c r="F256" s="10">
        <f t="shared" si="13"/>
        <v>755225.5770471244</v>
      </c>
      <c r="G256" s="10">
        <f t="shared" si="14"/>
        <v>225.05539397791725</v>
      </c>
      <c r="I256" s="37"/>
    </row>
    <row r="257" spans="1:9" ht="12.75">
      <c r="A257" s="44">
        <v>243</v>
      </c>
      <c r="B257" s="46"/>
      <c r="C257" s="10">
        <f t="shared" si="15"/>
        <v>755225.5770471244</v>
      </c>
      <c r="D257" s="10">
        <f t="shared" si="12"/>
        <v>3062.933397294122</v>
      </c>
      <c r="E257" s="10"/>
      <c r="F257" s="10">
        <f t="shared" si="13"/>
        <v>752162.6436498303</v>
      </c>
      <c r="G257" s="10">
        <f t="shared" si="14"/>
        <v>224.14660270587783</v>
      </c>
      <c r="I257" s="37"/>
    </row>
    <row r="258" spans="1:9" ht="12.75">
      <c r="A258" s="44">
        <v>244</v>
      </c>
      <c r="B258" s="46"/>
      <c r="C258" s="10">
        <f t="shared" si="15"/>
        <v>752162.6436498303</v>
      </c>
      <c r="D258" s="10">
        <f t="shared" si="12"/>
        <v>3063.8424582901785</v>
      </c>
      <c r="E258" s="10"/>
      <c r="F258" s="10">
        <f t="shared" si="13"/>
        <v>749098.8011915401</v>
      </c>
      <c r="G258" s="10">
        <f t="shared" si="14"/>
        <v>223.23754170982156</v>
      </c>
      <c r="I258" s="37"/>
    </row>
    <row r="259" spans="1:9" ht="12.75">
      <c r="A259" s="44">
        <v>245</v>
      </c>
      <c r="B259" s="46"/>
      <c r="C259" s="10">
        <f t="shared" si="15"/>
        <v>749098.8011915401</v>
      </c>
      <c r="D259" s="10">
        <f t="shared" si="12"/>
        <v>3064.751789090305</v>
      </c>
      <c r="E259" s="10"/>
      <c r="F259" s="10">
        <f t="shared" si="13"/>
        <v>746034.0494024497</v>
      </c>
      <c r="G259" s="10">
        <f t="shared" si="14"/>
        <v>222.3282109096949</v>
      </c>
      <c r="I259" s="37"/>
    </row>
    <row r="260" spans="1:9" ht="12.75">
      <c r="A260" s="44">
        <v>246</v>
      </c>
      <c r="B260" s="46"/>
      <c r="C260" s="10">
        <f t="shared" si="15"/>
        <v>746034.0494024497</v>
      </c>
      <c r="D260" s="10">
        <f t="shared" si="12"/>
        <v>3065.6613897745765</v>
      </c>
      <c r="E260" s="10"/>
      <c r="F260" s="10">
        <f t="shared" si="13"/>
        <v>742968.3880126752</v>
      </c>
      <c r="G260" s="10">
        <f t="shared" si="14"/>
        <v>221.41861022542344</v>
      </c>
      <c r="I260" s="37"/>
    </row>
    <row r="261" spans="1:9" ht="12.75">
      <c r="A261" s="44">
        <v>247</v>
      </c>
      <c r="B261" s="46"/>
      <c r="C261" s="10">
        <f t="shared" si="15"/>
        <v>742968.3880126752</v>
      </c>
      <c r="D261" s="10">
        <f t="shared" si="12"/>
        <v>3066.571260423093</v>
      </c>
      <c r="E261" s="10"/>
      <c r="F261" s="10">
        <f t="shared" si="13"/>
        <v>739901.8167522522</v>
      </c>
      <c r="G261" s="10">
        <f t="shared" si="14"/>
        <v>220.5087395769069</v>
      </c>
      <c r="I261" s="37"/>
    </row>
    <row r="262" spans="1:13" ht="12.75">
      <c r="A262" s="44">
        <v>248</v>
      </c>
      <c r="B262" s="46"/>
      <c r="C262" s="10">
        <f t="shared" si="15"/>
        <v>739901.8167522522</v>
      </c>
      <c r="D262" s="10">
        <f t="shared" si="12"/>
        <v>3067.4814011159797</v>
      </c>
      <c r="E262" s="10"/>
      <c r="F262" s="10">
        <f t="shared" si="13"/>
        <v>736834.3353511362</v>
      </c>
      <c r="G262" s="10">
        <f t="shared" si="14"/>
        <v>219.5985988840201</v>
      </c>
      <c r="H262" s="10"/>
      <c r="I262" s="37"/>
      <c r="J262" s="10"/>
      <c r="K262" s="10"/>
      <c r="L262" s="10">
        <f>K262-K250</f>
        <v>0</v>
      </c>
      <c r="M262" s="54" t="e">
        <f>L262/K250</f>
        <v>#DIV/0!</v>
      </c>
    </row>
    <row r="263" spans="1:9" ht="12.75">
      <c r="A263" s="44">
        <v>249</v>
      </c>
      <c r="B263" s="46"/>
      <c r="C263" s="10">
        <f t="shared" si="15"/>
        <v>736834.3353511362</v>
      </c>
      <c r="D263" s="10">
        <f t="shared" si="12"/>
        <v>3068.391811933383</v>
      </c>
      <c r="E263" s="10"/>
      <c r="F263" s="10">
        <f t="shared" si="13"/>
        <v>733765.9435392028</v>
      </c>
      <c r="G263" s="10">
        <f t="shared" si="14"/>
        <v>218.68818806661713</v>
      </c>
      <c r="I263" s="37"/>
    </row>
    <row r="264" spans="1:9" ht="12.75">
      <c r="A264" s="44">
        <v>250</v>
      </c>
      <c r="B264" s="46"/>
      <c r="C264" s="10">
        <f t="shared" si="15"/>
        <v>733765.9435392028</v>
      </c>
      <c r="D264" s="10">
        <f t="shared" si="12"/>
        <v>3069.302492955476</v>
      </c>
      <c r="E264" s="10"/>
      <c r="F264" s="10">
        <f t="shared" si="13"/>
        <v>730696.6410462473</v>
      </c>
      <c r="G264" s="10">
        <f t="shared" si="14"/>
        <v>217.77750704452416</v>
      </c>
      <c r="I264" s="37"/>
    </row>
    <row r="265" spans="1:9" ht="12.75">
      <c r="A265" s="44">
        <v>251</v>
      </c>
      <c r="B265" s="46"/>
      <c r="C265" s="10">
        <f t="shared" si="15"/>
        <v>730696.6410462473</v>
      </c>
      <c r="D265" s="10">
        <f t="shared" si="12"/>
        <v>3070.2134442624506</v>
      </c>
      <c r="E265" s="10"/>
      <c r="F265" s="10">
        <f t="shared" si="13"/>
        <v>727626.4276019849</v>
      </c>
      <c r="G265" s="10">
        <f t="shared" si="14"/>
        <v>216.86655573754922</v>
      </c>
      <c r="I265" s="37"/>
    </row>
    <row r="266" spans="1:9" ht="12.75">
      <c r="A266" s="44">
        <v>252</v>
      </c>
      <c r="B266" s="46"/>
      <c r="C266" s="10">
        <f t="shared" si="15"/>
        <v>727626.4276019849</v>
      </c>
      <c r="D266" s="10">
        <f t="shared" si="12"/>
        <v>3071.1246659345293</v>
      </c>
      <c r="E266" s="10">
        <f>SUM(D255:D266)</f>
        <v>36793.41480149021</v>
      </c>
      <c r="F266" s="10">
        <f t="shared" si="13"/>
        <v>724555.3029360505</v>
      </c>
      <c r="G266" s="10">
        <f t="shared" si="14"/>
        <v>215.9553340654708</v>
      </c>
      <c r="H266" s="10">
        <f>SUM(G255:G266)</f>
        <v>2651.5451985097925</v>
      </c>
      <c r="I266" s="37"/>
    </row>
    <row r="267" spans="1:9" ht="12.75">
      <c r="A267" s="44">
        <v>253</v>
      </c>
      <c r="B267" s="46"/>
      <c r="C267" s="10">
        <f t="shared" si="15"/>
        <v>724555.3029360505</v>
      </c>
      <c r="D267" s="10">
        <f t="shared" si="12"/>
        <v>3072.036158051953</v>
      </c>
      <c r="E267" s="10"/>
      <c r="F267" s="10">
        <f t="shared" si="13"/>
        <v>721483.2667779985</v>
      </c>
      <c r="G267" s="10">
        <f t="shared" si="14"/>
        <v>215.04384194804686</v>
      </c>
      <c r="I267" s="37"/>
    </row>
    <row r="268" spans="1:9" ht="12.75">
      <c r="A268" s="44">
        <v>254</v>
      </c>
      <c r="B268" s="46"/>
      <c r="C268" s="10">
        <f t="shared" si="15"/>
        <v>721483.2667779985</v>
      </c>
      <c r="D268" s="10">
        <f t="shared" si="12"/>
        <v>3072.947920694988</v>
      </c>
      <c r="E268" s="10"/>
      <c r="F268" s="10">
        <f t="shared" si="13"/>
        <v>718410.3188573036</v>
      </c>
      <c r="G268" s="10">
        <f t="shared" si="14"/>
        <v>214.13207930501173</v>
      </c>
      <c r="I268" s="37"/>
    </row>
    <row r="269" spans="1:9" ht="12.75">
      <c r="A269" s="44">
        <v>255</v>
      </c>
      <c r="B269" s="46"/>
      <c r="C269" s="10">
        <f t="shared" si="15"/>
        <v>718410.3188573036</v>
      </c>
      <c r="D269" s="10">
        <f t="shared" si="12"/>
        <v>3073.859953943928</v>
      </c>
      <c r="E269" s="10"/>
      <c r="F269" s="10">
        <f t="shared" si="13"/>
        <v>715336.4589033597</v>
      </c>
      <c r="G269" s="10">
        <f t="shared" si="14"/>
        <v>213.22004605607214</v>
      </c>
      <c r="I269" s="37"/>
    </row>
    <row r="270" spans="1:9" ht="12.75">
      <c r="A270" s="44">
        <v>256</v>
      </c>
      <c r="B270" s="46"/>
      <c r="C270" s="10">
        <f t="shared" si="15"/>
        <v>715336.4589033597</v>
      </c>
      <c r="D270" s="10">
        <f t="shared" si="12"/>
        <v>3074.7722578790826</v>
      </c>
      <c r="E270" s="10"/>
      <c r="F270" s="10">
        <f t="shared" si="13"/>
        <v>712261.6866454807</v>
      </c>
      <c r="G270" s="10">
        <f t="shared" si="14"/>
        <v>212.30774212091737</v>
      </c>
      <c r="I270" s="37"/>
    </row>
    <row r="271" spans="1:9" ht="12.75">
      <c r="A271" s="44">
        <v>257</v>
      </c>
      <c r="B271" s="46"/>
      <c r="C271" s="10">
        <f t="shared" si="15"/>
        <v>712261.6866454807</v>
      </c>
      <c r="D271" s="10">
        <f aca="true" t="shared" si="16" ref="D271:D334">-PPMT($C$6/12,A271,$C$7,$C$5)</f>
        <v>3075.684832580793</v>
      </c>
      <c r="E271" s="10"/>
      <c r="F271" s="10">
        <f aca="true" t="shared" si="17" ref="F271:F334">C271-D271</f>
        <v>709186.0018129</v>
      </c>
      <c r="G271" s="10">
        <f aca="true" t="shared" si="18" ref="G271:G334">-IPMT($C$6/12,A271,$C$7,$C$5)</f>
        <v>211.39516741920667</v>
      </c>
      <c r="I271" s="37"/>
    </row>
    <row r="272" spans="1:9" ht="12.75">
      <c r="A272" s="44">
        <v>258</v>
      </c>
      <c r="B272" s="46"/>
      <c r="C272" s="10">
        <f aca="true" t="shared" si="19" ref="C272:C335">F271</f>
        <v>709186.0018129</v>
      </c>
      <c r="D272" s="10">
        <f t="shared" si="16"/>
        <v>3076.5976781294203</v>
      </c>
      <c r="E272" s="10"/>
      <c r="F272" s="10">
        <f t="shared" si="17"/>
        <v>706109.4041347705</v>
      </c>
      <c r="G272" s="10">
        <f t="shared" si="18"/>
        <v>210.48232187057943</v>
      </c>
      <c r="I272" s="37"/>
    </row>
    <row r="273" spans="1:9" ht="12.75">
      <c r="A273" s="44">
        <v>259</v>
      </c>
      <c r="B273" s="46"/>
      <c r="C273" s="10">
        <f t="shared" si="19"/>
        <v>706109.4041347705</v>
      </c>
      <c r="D273" s="10">
        <f t="shared" si="16"/>
        <v>3077.510794605351</v>
      </c>
      <c r="E273" s="10"/>
      <c r="F273" s="10">
        <f t="shared" si="17"/>
        <v>703031.8933401651</v>
      </c>
      <c r="G273" s="10">
        <f t="shared" si="18"/>
        <v>209.56920539464915</v>
      </c>
      <c r="I273" s="37"/>
    </row>
    <row r="274" spans="1:13" ht="12.75">
      <c r="A274" s="44">
        <v>260</v>
      </c>
      <c r="B274" s="46"/>
      <c r="C274" s="10">
        <f t="shared" si="19"/>
        <v>703031.8933401651</v>
      </c>
      <c r="D274" s="10">
        <f t="shared" si="16"/>
        <v>3078.4241820889933</v>
      </c>
      <c r="E274" s="10"/>
      <c r="F274" s="10">
        <f t="shared" si="17"/>
        <v>699953.4691580761</v>
      </c>
      <c r="G274" s="10">
        <f t="shared" si="18"/>
        <v>208.65581791100666</v>
      </c>
      <c r="H274" s="10"/>
      <c r="I274" s="37"/>
      <c r="J274" s="10"/>
      <c r="K274" s="10"/>
      <c r="L274" s="10">
        <f>K274-K262</f>
        <v>0</v>
      </c>
      <c r="M274" s="54" t="e">
        <f>L274/K262</f>
        <v>#DIV/0!</v>
      </c>
    </row>
    <row r="275" spans="1:9" ht="12.75">
      <c r="A275" s="44">
        <v>261</v>
      </c>
      <c r="B275" s="46"/>
      <c r="C275" s="10">
        <f t="shared" si="19"/>
        <v>699953.4691580761</v>
      </c>
      <c r="D275" s="10">
        <f t="shared" si="16"/>
        <v>3079.3378406607812</v>
      </c>
      <c r="E275" s="10"/>
      <c r="F275" s="10">
        <f t="shared" si="17"/>
        <v>696874.1313174153</v>
      </c>
      <c r="G275" s="10">
        <f t="shared" si="18"/>
        <v>207.7421593392186</v>
      </c>
      <c r="I275" s="37"/>
    </row>
    <row r="276" spans="1:9" ht="12.75">
      <c r="A276" s="44">
        <v>262</v>
      </c>
      <c r="B276" s="46"/>
      <c r="C276" s="10">
        <f t="shared" si="19"/>
        <v>696874.1313174153</v>
      </c>
      <c r="D276" s="10">
        <f t="shared" si="16"/>
        <v>3080.251770401173</v>
      </c>
      <c r="E276" s="10"/>
      <c r="F276" s="10">
        <f t="shared" si="17"/>
        <v>693793.8795470141</v>
      </c>
      <c r="G276" s="10">
        <f t="shared" si="18"/>
        <v>206.82822959882694</v>
      </c>
      <c r="I276" s="37"/>
    </row>
    <row r="277" spans="1:9" ht="12.75">
      <c r="A277" s="44">
        <v>263</v>
      </c>
      <c r="B277" s="46"/>
      <c r="C277" s="10">
        <f t="shared" si="19"/>
        <v>693793.8795470141</v>
      </c>
      <c r="D277" s="10">
        <f t="shared" si="16"/>
        <v>3081.1659713906492</v>
      </c>
      <c r="E277" s="10"/>
      <c r="F277" s="10">
        <f t="shared" si="17"/>
        <v>690712.7135756235</v>
      </c>
      <c r="G277" s="10">
        <f t="shared" si="18"/>
        <v>205.91402860935088</v>
      </c>
      <c r="I277" s="37"/>
    </row>
    <row r="278" spans="1:9" ht="12.75">
      <c r="A278" s="44">
        <v>264</v>
      </c>
      <c r="B278" s="46"/>
      <c r="C278" s="10">
        <f t="shared" si="19"/>
        <v>690712.7135756235</v>
      </c>
      <c r="D278" s="10">
        <f t="shared" si="16"/>
        <v>3082.080443709715</v>
      </c>
      <c r="E278" s="10">
        <f>SUM(D267:D278)</f>
        <v>36924.669804136836</v>
      </c>
      <c r="F278" s="10">
        <f t="shared" si="17"/>
        <v>687630.6331319137</v>
      </c>
      <c r="G278" s="10">
        <f t="shared" si="18"/>
        <v>204.99955629028491</v>
      </c>
      <c r="H278" s="10">
        <f>SUM(G267:G278)</f>
        <v>2520.290195863171</v>
      </c>
      <c r="I278" s="37"/>
    </row>
    <row r="279" spans="1:9" ht="12.75">
      <c r="A279" s="44">
        <v>265</v>
      </c>
      <c r="B279" s="46"/>
      <c r="C279" s="10">
        <f t="shared" si="19"/>
        <v>687630.6331319137</v>
      </c>
      <c r="D279" s="10">
        <f t="shared" si="16"/>
        <v>3082.9951874389</v>
      </c>
      <c r="E279" s="10"/>
      <c r="F279" s="10">
        <f t="shared" si="17"/>
        <v>684547.6379444748</v>
      </c>
      <c r="G279" s="10">
        <f t="shared" si="18"/>
        <v>204.08481256110022</v>
      </c>
      <c r="I279" s="37"/>
    </row>
    <row r="280" spans="1:9" ht="12.75">
      <c r="A280" s="44">
        <v>266</v>
      </c>
      <c r="B280" s="46"/>
      <c r="C280" s="10">
        <f t="shared" si="19"/>
        <v>684547.6379444748</v>
      </c>
      <c r="D280" s="10">
        <f t="shared" si="16"/>
        <v>3083.910202658756</v>
      </c>
      <c r="E280" s="10"/>
      <c r="F280" s="10">
        <f t="shared" si="17"/>
        <v>681463.7277418161</v>
      </c>
      <c r="G280" s="10">
        <f t="shared" si="18"/>
        <v>203.16979734124385</v>
      </c>
      <c r="I280" s="37"/>
    </row>
    <row r="281" spans="1:9" ht="12.75">
      <c r="A281" s="44">
        <v>267</v>
      </c>
      <c r="B281" s="46"/>
      <c r="C281" s="10">
        <f t="shared" si="19"/>
        <v>681463.7277418161</v>
      </c>
      <c r="D281" s="10">
        <f t="shared" si="16"/>
        <v>3084.8254894498605</v>
      </c>
      <c r="E281" s="10"/>
      <c r="F281" s="10">
        <f t="shared" si="17"/>
        <v>678378.9022523662</v>
      </c>
      <c r="G281" s="10">
        <f t="shared" si="18"/>
        <v>202.25451055013934</v>
      </c>
      <c r="I281" s="37"/>
    </row>
    <row r="282" spans="1:9" ht="12.75">
      <c r="A282" s="44">
        <v>268</v>
      </c>
      <c r="B282" s="46"/>
      <c r="C282" s="10">
        <f t="shared" si="19"/>
        <v>678378.9022523662</v>
      </c>
      <c r="D282" s="10">
        <f t="shared" si="16"/>
        <v>3085.7410478928155</v>
      </c>
      <c r="E282" s="10"/>
      <c r="F282" s="10">
        <f t="shared" si="17"/>
        <v>675293.1612044733</v>
      </c>
      <c r="G282" s="10">
        <f t="shared" si="18"/>
        <v>201.33895210718444</v>
      </c>
      <c r="I282" s="37"/>
    </row>
    <row r="283" spans="1:9" ht="12.75">
      <c r="A283" s="44">
        <v>269</v>
      </c>
      <c r="B283" s="46"/>
      <c r="C283" s="10">
        <f t="shared" si="19"/>
        <v>675293.1612044733</v>
      </c>
      <c r="D283" s="10">
        <f t="shared" si="16"/>
        <v>3086.656878068244</v>
      </c>
      <c r="E283" s="10"/>
      <c r="F283" s="10">
        <f t="shared" si="17"/>
        <v>672206.5043264051</v>
      </c>
      <c r="G283" s="10">
        <f t="shared" si="18"/>
        <v>200.42312193175584</v>
      </c>
      <c r="I283" s="37"/>
    </row>
    <row r="284" spans="1:9" ht="12.75">
      <c r="A284" s="44">
        <v>270</v>
      </c>
      <c r="B284" s="46"/>
      <c r="C284" s="10">
        <f t="shared" si="19"/>
        <v>672206.5043264051</v>
      </c>
      <c r="D284" s="10">
        <f t="shared" si="16"/>
        <v>3087.5729800567947</v>
      </c>
      <c r="E284" s="10"/>
      <c r="F284" s="10">
        <f t="shared" si="17"/>
        <v>669118.9313463484</v>
      </c>
      <c r="G284" s="10">
        <f t="shared" si="18"/>
        <v>199.50701994320514</v>
      </c>
      <c r="I284" s="37"/>
    </row>
    <row r="285" spans="1:9" ht="12.75">
      <c r="A285" s="44">
        <v>271</v>
      </c>
      <c r="B285" s="46"/>
      <c r="C285" s="10">
        <f t="shared" si="19"/>
        <v>669118.9313463484</v>
      </c>
      <c r="D285" s="10">
        <f t="shared" si="16"/>
        <v>3088.4893539391414</v>
      </c>
      <c r="E285" s="10"/>
      <c r="F285" s="10">
        <f t="shared" si="17"/>
        <v>666030.4419924092</v>
      </c>
      <c r="G285" s="10">
        <f t="shared" si="18"/>
        <v>198.5906460608584</v>
      </c>
      <c r="I285" s="37"/>
    </row>
    <row r="286" spans="1:13" ht="12.75">
      <c r="A286" s="44">
        <v>272</v>
      </c>
      <c r="B286" s="46"/>
      <c r="C286" s="10">
        <f t="shared" si="19"/>
        <v>666030.4419924092</v>
      </c>
      <c r="D286" s="10">
        <f t="shared" si="16"/>
        <v>3089.4059997959803</v>
      </c>
      <c r="E286" s="10"/>
      <c r="F286" s="10">
        <f t="shared" si="17"/>
        <v>662941.0359926132</v>
      </c>
      <c r="G286" s="10">
        <f t="shared" si="18"/>
        <v>197.67400020401962</v>
      </c>
      <c r="H286" s="10"/>
      <c r="I286" s="37"/>
      <c r="J286" s="10"/>
      <c r="K286" s="10"/>
      <c r="L286" s="10">
        <f>K286-K274</f>
        <v>0</v>
      </c>
      <c r="M286" s="54" t="e">
        <f>L286/K274</f>
        <v>#DIV/0!</v>
      </c>
    </row>
    <row r="287" spans="1:9" ht="12.75">
      <c r="A287" s="44">
        <v>273</v>
      </c>
      <c r="B287" s="46"/>
      <c r="C287" s="10">
        <f t="shared" si="19"/>
        <v>662941.0359926132</v>
      </c>
      <c r="D287" s="10">
        <f t="shared" si="16"/>
        <v>3090.322917708031</v>
      </c>
      <c r="E287" s="10"/>
      <c r="F287" s="10">
        <f t="shared" si="17"/>
        <v>659850.7130749051</v>
      </c>
      <c r="G287" s="10">
        <f t="shared" si="18"/>
        <v>196.75708229196883</v>
      </c>
      <c r="I287" s="37"/>
    </row>
    <row r="288" spans="1:9" ht="12.75">
      <c r="A288" s="44">
        <v>274</v>
      </c>
      <c r="B288" s="46"/>
      <c r="C288" s="10">
        <f t="shared" si="19"/>
        <v>659850.7130749051</v>
      </c>
      <c r="D288" s="10">
        <f t="shared" si="16"/>
        <v>3091.240107756039</v>
      </c>
      <c r="E288" s="10"/>
      <c r="F288" s="10">
        <f t="shared" si="17"/>
        <v>656759.4729671491</v>
      </c>
      <c r="G288" s="10">
        <f t="shared" si="18"/>
        <v>195.83989224396115</v>
      </c>
      <c r="I288" s="37"/>
    </row>
    <row r="289" spans="1:9" ht="12.75">
      <c r="A289" s="44">
        <v>275</v>
      </c>
      <c r="B289" s="46"/>
      <c r="C289" s="10">
        <f t="shared" si="19"/>
        <v>656759.4729671491</v>
      </c>
      <c r="D289" s="10">
        <f t="shared" si="16"/>
        <v>3092.157570020771</v>
      </c>
      <c r="E289" s="10"/>
      <c r="F289" s="10">
        <f t="shared" si="17"/>
        <v>653667.3153971283</v>
      </c>
      <c r="G289" s="10">
        <f t="shared" si="18"/>
        <v>194.92242997922907</v>
      </c>
      <c r="I289" s="37"/>
    </row>
    <row r="290" spans="1:9" ht="12.75">
      <c r="A290" s="44">
        <v>276</v>
      </c>
      <c r="B290" s="46"/>
      <c r="C290" s="10">
        <f t="shared" si="19"/>
        <v>653667.3153971283</v>
      </c>
      <c r="D290" s="10">
        <f t="shared" si="16"/>
        <v>3093.0753045830215</v>
      </c>
      <c r="E290" s="10">
        <f>SUM(D279:D290)</f>
        <v>37056.393039368355</v>
      </c>
      <c r="F290" s="10">
        <f t="shared" si="17"/>
        <v>650574.2400925453</v>
      </c>
      <c r="G290" s="10">
        <f t="shared" si="18"/>
        <v>194.00469541697856</v>
      </c>
      <c r="H290" s="10">
        <f>SUM(G279:G290)</f>
        <v>2388.5669606316446</v>
      </c>
      <c r="I290" s="37"/>
    </row>
    <row r="291" spans="1:9" ht="12.75">
      <c r="A291" s="44">
        <v>277</v>
      </c>
      <c r="B291" s="46"/>
      <c r="C291" s="10">
        <f t="shared" si="19"/>
        <v>650574.2400925453</v>
      </c>
      <c r="D291" s="10">
        <f t="shared" si="16"/>
        <v>3093.9933115236054</v>
      </c>
      <c r="E291" s="10"/>
      <c r="F291" s="10">
        <f t="shared" si="17"/>
        <v>647480.2467810217</v>
      </c>
      <c r="G291" s="10">
        <f t="shared" si="18"/>
        <v>193.0866884763945</v>
      </c>
      <c r="I291" s="37"/>
    </row>
    <row r="292" spans="1:9" ht="12.75">
      <c r="A292" s="44">
        <v>278</v>
      </c>
      <c r="B292" s="46"/>
      <c r="C292" s="10">
        <f t="shared" si="19"/>
        <v>647480.2467810217</v>
      </c>
      <c r="D292" s="10">
        <f t="shared" si="16"/>
        <v>3094.9115909233633</v>
      </c>
      <c r="E292" s="10"/>
      <c r="F292" s="10">
        <f t="shared" si="17"/>
        <v>644385.3351900984</v>
      </c>
      <c r="G292" s="10">
        <f t="shared" si="18"/>
        <v>192.16840907663666</v>
      </c>
      <c r="I292" s="37"/>
    </row>
    <row r="293" spans="1:9" ht="12.75">
      <c r="A293" s="44">
        <v>279</v>
      </c>
      <c r="B293" s="46"/>
      <c r="C293" s="10">
        <f t="shared" si="19"/>
        <v>644385.3351900984</v>
      </c>
      <c r="D293" s="10">
        <f t="shared" si="16"/>
        <v>3095.83014286316</v>
      </c>
      <c r="E293" s="10"/>
      <c r="F293" s="10">
        <f t="shared" si="17"/>
        <v>641289.5050472352</v>
      </c>
      <c r="G293" s="10">
        <f t="shared" si="18"/>
        <v>191.24985713684</v>
      </c>
      <c r="I293" s="37"/>
    </row>
    <row r="294" spans="1:9" ht="12.75">
      <c r="A294" s="44">
        <v>280</v>
      </c>
      <c r="B294" s="46"/>
      <c r="C294" s="10">
        <f t="shared" si="19"/>
        <v>641289.5050472352</v>
      </c>
      <c r="D294" s="10">
        <f t="shared" si="16"/>
        <v>3096.7489674238827</v>
      </c>
      <c r="E294" s="10"/>
      <c r="F294" s="10">
        <f t="shared" si="17"/>
        <v>638192.7560798113</v>
      </c>
      <c r="G294" s="10">
        <f t="shared" si="18"/>
        <v>190.33103257611728</v>
      </c>
      <c r="I294" s="37"/>
    </row>
    <row r="295" spans="1:9" ht="12.75">
      <c r="A295" s="44">
        <v>281</v>
      </c>
      <c r="B295" s="46"/>
      <c r="C295" s="10">
        <f t="shared" si="19"/>
        <v>638192.7560798113</v>
      </c>
      <c r="D295" s="10">
        <f t="shared" si="16"/>
        <v>3097.668064686445</v>
      </c>
      <c r="E295" s="10"/>
      <c r="F295" s="10">
        <f t="shared" si="17"/>
        <v>635095.0880151248</v>
      </c>
      <c r="G295" s="10">
        <f t="shared" si="18"/>
        <v>189.41193531355495</v>
      </c>
      <c r="I295" s="37"/>
    </row>
    <row r="296" spans="1:9" ht="12.75">
      <c r="A296" s="44">
        <v>282</v>
      </c>
      <c r="B296" s="46"/>
      <c r="C296" s="10">
        <f t="shared" si="19"/>
        <v>635095.0880151248</v>
      </c>
      <c r="D296" s="10">
        <f t="shared" si="16"/>
        <v>3098.587434731783</v>
      </c>
      <c r="E296" s="10"/>
      <c r="F296" s="10">
        <f t="shared" si="17"/>
        <v>631996.500580393</v>
      </c>
      <c r="G296" s="10">
        <f t="shared" si="18"/>
        <v>188.49256526821682</v>
      </c>
      <c r="I296" s="37"/>
    </row>
    <row r="297" spans="1:9" ht="12.75">
      <c r="A297" s="44">
        <v>283</v>
      </c>
      <c r="B297" s="46"/>
      <c r="C297" s="10">
        <f t="shared" si="19"/>
        <v>631996.500580393</v>
      </c>
      <c r="D297" s="10">
        <f t="shared" si="16"/>
        <v>3099.5070776408556</v>
      </c>
      <c r="E297" s="10"/>
      <c r="F297" s="10">
        <f t="shared" si="17"/>
        <v>628896.9935027522</v>
      </c>
      <c r="G297" s="10">
        <f t="shared" si="18"/>
        <v>187.5729223591444</v>
      </c>
      <c r="I297" s="37"/>
    </row>
    <row r="298" spans="1:13" ht="12.75">
      <c r="A298" s="44">
        <v>284</v>
      </c>
      <c r="B298" s="46"/>
      <c r="C298" s="10">
        <f t="shared" si="19"/>
        <v>628896.9935027522</v>
      </c>
      <c r="D298" s="10">
        <f t="shared" si="16"/>
        <v>3100.4269934946497</v>
      </c>
      <c r="E298" s="10"/>
      <c r="F298" s="10">
        <f t="shared" si="17"/>
        <v>625796.5665092575</v>
      </c>
      <c r="G298" s="10">
        <f t="shared" si="18"/>
        <v>186.65300650535048</v>
      </c>
      <c r="H298" s="10"/>
      <c r="I298" s="37"/>
      <c r="J298" s="10"/>
      <c r="K298" s="10"/>
      <c r="L298" s="10">
        <f>K298-K286</f>
        <v>0</v>
      </c>
      <c r="M298" s="54" t="e">
        <f>L298/K286</f>
        <v>#DIV/0!</v>
      </c>
    </row>
    <row r="299" spans="1:9" ht="12.75">
      <c r="A299" s="44">
        <v>285</v>
      </c>
      <c r="B299" s="46"/>
      <c r="C299" s="10">
        <f t="shared" si="19"/>
        <v>625796.5665092575</v>
      </c>
      <c r="D299" s="10">
        <f t="shared" si="16"/>
        <v>3101.3471823741716</v>
      </c>
      <c r="E299" s="10"/>
      <c r="F299" s="10">
        <f t="shared" si="17"/>
        <v>622695.2193268833</v>
      </c>
      <c r="G299" s="10">
        <f t="shared" si="18"/>
        <v>185.7328176258282</v>
      </c>
      <c r="I299" s="37"/>
    </row>
    <row r="300" spans="1:9" ht="12.75">
      <c r="A300" s="44">
        <v>286</v>
      </c>
      <c r="B300" s="46"/>
      <c r="C300" s="10">
        <f t="shared" si="19"/>
        <v>622695.2193268833</v>
      </c>
      <c r="D300" s="10">
        <f t="shared" si="16"/>
        <v>3102.2676443604537</v>
      </c>
      <c r="E300" s="10"/>
      <c r="F300" s="10">
        <f t="shared" si="17"/>
        <v>619592.9516825229</v>
      </c>
      <c r="G300" s="10">
        <f t="shared" si="18"/>
        <v>184.8123556395461</v>
      </c>
      <c r="I300" s="37"/>
    </row>
    <row r="301" spans="1:9" ht="12.75">
      <c r="A301" s="44">
        <v>287</v>
      </c>
      <c r="B301" s="46"/>
      <c r="C301" s="10">
        <f t="shared" si="19"/>
        <v>619592.9516825229</v>
      </c>
      <c r="D301" s="10">
        <f t="shared" si="16"/>
        <v>3103.188379534555</v>
      </c>
      <c r="E301" s="10"/>
      <c r="F301" s="10">
        <f t="shared" si="17"/>
        <v>616489.7633029884</v>
      </c>
      <c r="G301" s="10">
        <f t="shared" si="18"/>
        <v>183.8916204654449</v>
      </c>
      <c r="I301" s="37"/>
    </row>
    <row r="302" spans="1:9" ht="12.75">
      <c r="A302" s="44">
        <v>288</v>
      </c>
      <c r="B302" s="46"/>
      <c r="C302" s="10">
        <f t="shared" si="19"/>
        <v>616489.7633029884</v>
      </c>
      <c r="D302" s="10">
        <f t="shared" si="16"/>
        <v>3104.109387977554</v>
      </c>
      <c r="E302" s="10">
        <f>SUM(D291:D302)</f>
        <v>37188.586177534475</v>
      </c>
      <c r="F302" s="10">
        <f t="shared" si="17"/>
        <v>613385.6539150109</v>
      </c>
      <c r="G302" s="10">
        <f t="shared" si="18"/>
        <v>182.97061202244612</v>
      </c>
      <c r="H302" s="10">
        <f>SUM(G291:G302)</f>
        <v>2256.3738224655203</v>
      </c>
      <c r="I302" s="37"/>
    </row>
    <row r="303" spans="1:9" ht="12.75">
      <c r="A303" s="44">
        <v>289</v>
      </c>
      <c r="B303" s="46"/>
      <c r="C303" s="10">
        <f t="shared" si="19"/>
        <v>613385.6539150109</v>
      </c>
      <c r="D303" s="10">
        <f t="shared" si="16"/>
        <v>3105.0306697705555</v>
      </c>
      <c r="E303" s="10"/>
      <c r="F303" s="10">
        <f t="shared" si="17"/>
        <v>610280.6232452403</v>
      </c>
      <c r="G303" s="10">
        <f t="shared" si="18"/>
        <v>182.04933022944442</v>
      </c>
      <c r="I303" s="37"/>
    </row>
    <row r="304" spans="1:9" ht="12.75">
      <c r="A304" s="44">
        <v>290</v>
      </c>
      <c r="B304" s="46"/>
      <c r="C304" s="10">
        <f t="shared" si="19"/>
        <v>610280.6232452403</v>
      </c>
      <c r="D304" s="10">
        <f t="shared" si="16"/>
        <v>3105.952224994688</v>
      </c>
      <c r="E304" s="10"/>
      <c r="F304" s="10">
        <f t="shared" si="17"/>
        <v>607174.6710202456</v>
      </c>
      <c r="G304" s="10">
        <f t="shared" si="18"/>
        <v>181.127775005312</v>
      </c>
      <c r="I304" s="37"/>
    </row>
    <row r="305" spans="1:9" ht="12.75">
      <c r="A305" s="44">
        <v>291</v>
      </c>
      <c r="B305" s="46"/>
      <c r="C305" s="10">
        <f t="shared" si="19"/>
        <v>607174.6710202456</v>
      </c>
      <c r="D305" s="10">
        <f t="shared" si="16"/>
        <v>3106.8740537311055</v>
      </c>
      <c r="E305" s="10"/>
      <c r="F305" s="10">
        <f t="shared" si="17"/>
        <v>604067.7969665146</v>
      </c>
      <c r="G305" s="10">
        <f t="shared" si="18"/>
        <v>180.20594626889448</v>
      </c>
      <c r="I305" s="37"/>
    </row>
    <row r="306" spans="1:9" ht="12.75">
      <c r="A306" s="44">
        <v>292</v>
      </c>
      <c r="B306" s="46"/>
      <c r="C306" s="10">
        <f t="shared" si="19"/>
        <v>604067.7969665146</v>
      </c>
      <c r="D306" s="10">
        <f t="shared" si="16"/>
        <v>3107.796156060984</v>
      </c>
      <c r="E306" s="10"/>
      <c r="F306" s="10">
        <f t="shared" si="17"/>
        <v>600960.0008104536</v>
      </c>
      <c r="G306" s="10">
        <f t="shared" si="18"/>
        <v>179.28384393901624</v>
      </c>
      <c r="I306" s="37"/>
    </row>
    <row r="307" spans="1:9" ht="12.75">
      <c r="A307" s="44">
        <v>293</v>
      </c>
      <c r="B307" s="46"/>
      <c r="C307" s="10">
        <f t="shared" si="19"/>
        <v>600960.0008104536</v>
      </c>
      <c r="D307" s="10">
        <f t="shared" si="16"/>
        <v>3108.7185320655244</v>
      </c>
      <c r="E307" s="10"/>
      <c r="F307" s="10">
        <f t="shared" si="17"/>
        <v>597851.282278388</v>
      </c>
      <c r="G307" s="10">
        <f t="shared" si="18"/>
        <v>178.36146793447546</v>
      </c>
      <c r="I307" s="37"/>
    </row>
    <row r="308" spans="1:9" ht="12.75">
      <c r="A308" s="44">
        <v>294</v>
      </c>
      <c r="B308" s="46"/>
      <c r="C308" s="10">
        <f t="shared" si="19"/>
        <v>597851.282278388</v>
      </c>
      <c r="D308" s="10">
        <f t="shared" si="16"/>
        <v>3109.6411818259517</v>
      </c>
      <c r="E308" s="10"/>
      <c r="F308" s="10">
        <f t="shared" si="17"/>
        <v>594741.641096562</v>
      </c>
      <c r="G308" s="10">
        <f t="shared" si="18"/>
        <v>177.4388181740481</v>
      </c>
      <c r="I308" s="37"/>
    </row>
    <row r="309" spans="1:9" ht="12.75">
      <c r="A309" s="44">
        <v>295</v>
      </c>
      <c r="B309" s="46"/>
      <c r="C309" s="10">
        <f t="shared" si="19"/>
        <v>594741.641096562</v>
      </c>
      <c r="D309" s="10">
        <f t="shared" si="16"/>
        <v>3110.5641054235152</v>
      </c>
      <c r="E309" s="10"/>
      <c r="F309" s="10">
        <f t="shared" si="17"/>
        <v>591631.0769911385</v>
      </c>
      <c r="G309" s="10">
        <f t="shared" si="18"/>
        <v>176.51589457648453</v>
      </c>
      <c r="I309" s="37"/>
    </row>
    <row r="310" spans="1:13" ht="12.75">
      <c r="A310" s="44">
        <v>296</v>
      </c>
      <c r="B310" s="46"/>
      <c r="C310" s="10">
        <f t="shared" si="19"/>
        <v>591631.0769911385</v>
      </c>
      <c r="D310" s="10">
        <f t="shared" si="16"/>
        <v>3111.4873029394885</v>
      </c>
      <c r="E310" s="10"/>
      <c r="F310" s="10">
        <f t="shared" si="17"/>
        <v>588519.589688199</v>
      </c>
      <c r="G310" s="10">
        <f t="shared" si="18"/>
        <v>175.59269706051126</v>
      </c>
      <c r="H310" s="10"/>
      <c r="I310" s="37"/>
      <c r="J310" s="10"/>
      <c r="K310" s="10"/>
      <c r="L310" s="10">
        <f>K310-K298</f>
        <v>0</v>
      </c>
      <c r="M310" s="54" t="e">
        <f>L310/K298</f>
        <v>#DIV/0!</v>
      </c>
    </row>
    <row r="311" spans="1:9" ht="12.75">
      <c r="A311" s="44">
        <v>297</v>
      </c>
      <c r="B311" s="46"/>
      <c r="C311" s="10">
        <f t="shared" si="19"/>
        <v>588519.589688199</v>
      </c>
      <c r="D311" s="10">
        <f t="shared" si="16"/>
        <v>3112.410774455169</v>
      </c>
      <c r="E311" s="10"/>
      <c r="F311" s="10">
        <f t="shared" si="17"/>
        <v>585407.1789137438</v>
      </c>
      <c r="G311" s="10">
        <f t="shared" si="18"/>
        <v>174.66922554483105</v>
      </c>
      <c r="I311" s="37"/>
    </row>
    <row r="312" spans="1:9" ht="12.75">
      <c r="A312" s="44">
        <v>298</v>
      </c>
      <c r="B312" s="46"/>
      <c r="C312" s="10">
        <f t="shared" si="19"/>
        <v>585407.1789137438</v>
      </c>
      <c r="D312" s="10">
        <f t="shared" si="16"/>
        <v>3113.334520051879</v>
      </c>
      <c r="E312" s="10"/>
      <c r="F312" s="10">
        <f t="shared" si="17"/>
        <v>582293.844393692</v>
      </c>
      <c r="G312" s="10">
        <f t="shared" si="18"/>
        <v>173.74547994812113</v>
      </c>
      <c r="I312" s="37"/>
    </row>
    <row r="313" spans="1:9" ht="12.75">
      <c r="A313" s="44">
        <v>299</v>
      </c>
      <c r="B313" s="46"/>
      <c r="C313" s="10">
        <f t="shared" si="19"/>
        <v>582293.844393692</v>
      </c>
      <c r="D313" s="10">
        <f t="shared" si="16"/>
        <v>3114.2585398109613</v>
      </c>
      <c r="E313" s="10"/>
      <c r="F313" s="10">
        <f t="shared" si="17"/>
        <v>579179.585853881</v>
      </c>
      <c r="G313" s="10">
        <f t="shared" si="18"/>
        <v>172.82146018903876</v>
      </c>
      <c r="I313" s="37"/>
    </row>
    <row r="314" spans="1:9" ht="12.75">
      <c r="A314" s="44">
        <v>300</v>
      </c>
      <c r="B314" s="46"/>
      <c r="C314" s="10">
        <f t="shared" si="19"/>
        <v>579179.585853881</v>
      </c>
      <c r="D314" s="10">
        <f t="shared" si="16"/>
        <v>3115.182833813789</v>
      </c>
      <c r="E314" s="10">
        <f>SUM(D303:D314)</f>
        <v>37321.25089494361</v>
      </c>
      <c r="F314" s="10">
        <f t="shared" si="17"/>
        <v>576064.4030200671</v>
      </c>
      <c r="G314" s="10">
        <f t="shared" si="18"/>
        <v>171.8971661862112</v>
      </c>
      <c r="H314" s="10">
        <f>SUM(G303:G314)</f>
        <v>2123.7091050563886</v>
      </c>
      <c r="I314" s="37"/>
    </row>
    <row r="315" spans="1:9" ht="12.75">
      <c r="A315" s="44">
        <v>301</v>
      </c>
      <c r="B315" s="46"/>
      <c r="C315" s="10">
        <f t="shared" si="19"/>
        <v>576064.4030200671</v>
      </c>
      <c r="D315" s="10">
        <f t="shared" si="16"/>
        <v>3116.107402141754</v>
      </c>
      <c r="E315" s="10"/>
      <c r="F315" s="10">
        <f t="shared" si="17"/>
        <v>572948.2956179254</v>
      </c>
      <c r="G315" s="10">
        <f t="shared" si="18"/>
        <v>170.97259785824608</v>
      </c>
      <c r="I315" s="37"/>
    </row>
    <row r="316" spans="1:9" ht="12.75">
      <c r="A316" s="44">
        <v>302</v>
      </c>
      <c r="B316" s="46"/>
      <c r="C316" s="10">
        <f t="shared" si="19"/>
        <v>572948.2956179254</v>
      </c>
      <c r="D316" s="10">
        <f t="shared" si="16"/>
        <v>3117.0322448762754</v>
      </c>
      <c r="E316" s="10"/>
      <c r="F316" s="10">
        <f t="shared" si="17"/>
        <v>569831.2633730491</v>
      </c>
      <c r="G316" s="10">
        <f t="shared" si="18"/>
        <v>170.04775512372473</v>
      </c>
      <c r="I316" s="37"/>
    </row>
    <row r="317" spans="1:9" ht="12.75">
      <c r="A317" s="44">
        <v>303</v>
      </c>
      <c r="B317" s="46"/>
      <c r="C317" s="10">
        <f t="shared" si="19"/>
        <v>569831.2633730491</v>
      </c>
      <c r="D317" s="10">
        <f t="shared" si="16"/>
        <v>3117.9573620987944</v>
      </c>
      <c r="E317" s="10"/>
      <c r="F317" s="10">
        <f t="shared" si="17"/>
        <v>566713.3060109502</v>
      </c>
      <c r="G317" s="10">
        <f t="shared" si="18"/>
        <v>169.1226379012053</v>
      </c>
      <c r="I317" s="37"/>
    </row>
    <row r="318" spans="1:9" ht="12.75">
      <c r="A318" s="44">
        <v>304</v>
      </c>
      <c r="B318" s="46"/>
      <c r="C318" s="10">
        <f t="shared" si="19"/>
        <v>566713.3060109502</v>
      </c>
      <c r="D318" s="10">
        <f t="shared" si="16"/>
        <v>3118.882753890779</v>
      </c>
      <c r="E318" s="10"/>
      <c r="F318" s="10">
        <f t="shared" si="17"/>
        <v>563594.4232570594</v>
      </c>
      <c r="G318" s="10">
        <f t="shared" si="18"/>
        <v>168.19724610922094</v>
      </c>
      <c r="I318" s="37"/>
    </row>
    <row r="319" spans="1:9" ht="12.75">
      <c r="A319" s="44">
        <v>305</v>
      </c>
      <c r="B319" s="46"/>
      <c r="C319" s="10">
        <f t="shared" si="19"/>
        <v>563594.4232570594</v>
      </c>
      <c r="D319" s="10">
        <f t="shared" si="16"/>
        <v>3119.808420333719</v>
      </c>
      <c r="E319" s="10"/>
      <c r="F319" s="10">
        <f t="shared" si="17"/>
        <v>560474.6148367258</v>
      </c>
      <c r="G319" s="10">
        <f t="shared" si="18"/>
        <v>167.27157966628118</v>
      </c>
      <c r="I319" s="37"/>
    </row>
    <row r="320" spans="1:9" ht="12.75">
      <c r="A320" s="44">
        <v>306</v>
      </c>
      <c r="B320" s="46"/>
      <c r="C320" s="10">
        <f t="shared" si="19"/>
        <v>560474.6148367258</v>
      </c>
      <c r="D320" s="10">
        <f t="shared" si="16"/>
        <v>3120.7343615091295</v>
      </c>
      <c r="E320" s="10"/>
      <c r="F320" s="10">
        <f t="shared" si="17"/>
        <v>557353.8804752167</v>
      </c>
      <c r="G320" s="10">
        <f t="shared" si="18"/>
        <v>166.34563849087033</v>
      </c>
      <c r="I320" s="37"/>
    </row>
    <row r="321" spans="1:9" ht="12.75">
      <c r="A321" s="44">
        <v>307</v>
      </c>
      <c r="B321" s="46"/>
      <c r="C321" s="10">
        <f t="shared" si="19"/>
        <v>557353.8804752167</v>
      </c>
      <c r="D321" s="10">
        <f t="shared" si="16"/>
        <v>3121.660577498549</v>
      </c>
      <c r="E321" s="10"/>
      <c r="F321" s="10">
        <f t="shared" si="17"/>
        <v>554232.2198977182</v>
      </c>
      <c r="G321" s="10">
        <f t="shared" si="18"/>
        <v>165.41942250145053</v>
      </c>
      <c r="I321" s="37"/>
    </row>
    <row r="322" spans="1:13" ht="12.75">
      <c r="A322" s="44">
        <v>308</v>
      </c>
      <c r="B322" s="46"/>
      <c r="C322" s="10">
        <f t="shared" si="19"/>
        <v>554232.2198977182</v>
      </c>
      <c r="D322" s="10">
        <f t="shared" si="16"/>
        <v>3122.5870683835415</v>
      </c>
      <c r="E322" s="10"/>
      <c r="F322" s="10">
        <f t="shared" si="17"/>
        <v>551109.6328293346</v>
      </c>
      <c r="G322" s="10">
        <f t="shared" si="18"/>
        <v>164.49293161645863</v>
      </c>
      <c r="H322" s="10"/>
      <c r="I322" s="37"/>
      <c r="J322" s="10"/>
      <c r="K322" s="10"/>
      <c r="L322" s="10">
        <f>K322-K310</f>
        <v>0</v>
      </c>
      <c r="M322" s="54" t="e">
        <f>L322/K310</f>
        <v>#DIV/0!</v>
      </c>
    </row>
    <row r="323" spans="1:9" ht="12.75">
      <c r="A323" s="44">
        <v>309</v>
      </c>
      <c r="B323" s="46"/>
      <c r="C323" s="10">
        <f t="shared" si="19"/>
        <v>551109.6328293346</v>
      </c>
      <c r="D323" s="10">
        <f t="shared" si="16"/>
        <v>3123.513834245694</v>
      </c>
      <c r="E323" s="10"/>
      <c r="F323" s="10">
        <f t="shared" si="17"/>
        <v>547986.1189950889</v>
      </c>
      <c r="G323" s="10">
        <f t="shared" si="18"/>
        <v>163.56616575430596</v>
      </c>
      <c r="I323" s="37"/>
    </row>
    <row r="324" spans="1:9" ht="12.75">
      <c r="A324" s="44">
        <v>310</v>
      </c>
      <c r="B324" s="46"/>
      <c r="C324" s="10">
        <f t="shared" si="19"/>
        <v>547986.1189950889</v>
      </c>
      <c r="D324" s="10">
        <f t="shared" si="16"/>
        <v>3124.440875166618</v>
      </c>
      <c r="E324" s="10"/>
      <c r="F324" s="10">
        <f t="shared" si="17"/>
        <v>544861.6781199223</v>
      </c>
      <c r="G324" s="10">
        <f t="shared" si="18"/>
        <v>162.63912483338208</v>
      </c>
      <c r="I324" s="37"/>
    </row>
    <row r="325" spans="1:9" ht="12.75">
      <c r="A325" s="44">
        <v>311</v>
      </c>
      <c r="B325" s="46"/>
      <c r="C325" s="10">
        <f t="shared" si="19"/>
        <v>544861.6781199223</v>
      </c>
      <c r="D325" s="10">
        <f t="shared" si="16"/>
        <v>3125.368191227949</v>
      </c>
      <c r="E325" s="10"/>
      <c r="F325" s="10">
        <f t="shared" si="17"/>
        <v>541736.3099286944</v>
      </c>
      <c r="G325" s="10">
        <f t="shared" si="18"/>
        <v>161.71180877205086</v>
      </c>
      <c r="I325" s="37"/>
    </row>
    <row r="326" spans="1:9" ht="12.75">
      <c r="A326" s="44">
        <v>312</v>
      </c>
      <c r="B326" s="46"/>
      <c r="C326" s="10">
        <f t="shared" si="19"/>
        <v>541736.3099286944</v>
      </c>
      <c r="D326" s="10">
        <f t="shared" si="16"/>
        <v>3126.2957825113476</v>
      </c>
      <c r="E326" s="10">
        <f>SUM(D315:D326)</f>
        <v>37454.388873884156</v>
      </c>
      <c r="F326" s="10">
        <f t="shared" si="17"/>
        <v>538610.014146183</v>
      </c>
      <c r="G326" s="10">
        <f t="shared" si="18"/>
        <v>160.78421748865225</v>
      </c>
      <c r="H326" s="10">
        <f>SUM(G315:G326)</f>
        <v>1990.571126115849</v>
      </c>
      <c r="I326" s="37"/>
    </row>
    <row r="327" spans="1:9" ht="12.75">
      <c r="A327" s="44">
        <v>313</v>
      </c>
      <c r="B327" s="46"/>
      <c r="C327" s="10">
        <f t="shared" si="19"/>
        <v>538610.014146183</v>
      </c>
      <c r="D327" s="10">
        <f t="shared" si="16"/>
        <v>3127.2236490984983</v>
      </c>
      <c r="E327" s="10"/>
      <c r="F327" s="10">
        <f t="shared" si="17"/>
        <v>535482.7904970845</v>
      </c>
      <c r="G327" s="10">
        <f t="shared" si="18"/>
        <v>159.85635090150163</v>
      </c>
      <c r="I327" s="37"/>
    </row>
    <row r="328" spans="1:9" ht="12.75">
      <c r="A328" s="44">
        <v>314</v>
      </c>
      <c r="B328" s="46"/>
      <c r="C328" s="10">
        <f t="shared" si="19"/>
        <v>535482.7904970845</v>
      </c>
      <c r="D328" s="10">
        <f t="shared" si="16"/>
        <v>3128.1517910711095</v>
      </c>
      <c r="E328" s="10"/>
      <c r="F328" s="10">
        <f t="shared" si="17"/>
        <v>532354.6387060134</v>
      </c>
      <c r="G328" s="10">
        <f t="shared" si="18"/>
        <v>158.92820892889023</v>
      </c>
      <c r="I328" s="37"/>
    </row>
    <row r="329" spans="1:9" ht="12.75">
      <c r="A329" s="44">
        <v>315</v>
      </c>
      <c r="B329" s="46"/>
      <c r="C329" s="10">
        <f t="shared" si="19"/>
        <v>532354.6387060134</v>
      </c>
      <c r="D329" s="10">
        <f t="shared" si="16"/>
        <v>3129.0802085109135</v>
      </c>
      <c r="E329" s="10"/>
      <c r="F329" s="10">
        <f t="shared" si="17"/>
        <v>529225.5584975026</v>
      </c>
      <c r="G329" s="10">
        <f t="shared" si="18"/>
        <v>157.99979148908642</v>
      </c>
      <c r="I329" s="37"/>
    </row>
    <row r="330" spans="1:9" ht="12.75">
      <c r="A330" s="44">
        <v>316</v>
      </c>
      <c r="B330" s="46"/>
      <c r="C330" s="10">
        <f t="shared" si="19"/>
        <v>529225.5584975026</v>
      </c>
      <c r="D330" s="10">
        <f t="shared" si="16"/>
        <v>3130.008901499668</v>
      </c>
      <c r="E330" s="10"/>
      <c r="F330" s="10">
        <f t="shared" si="17"/>
        <v>526095.5495960029</v>
      </c>
      <c r="G330" s="10">
        <f t="shared" si="18"/>
        <v>157.07109850033206</v>
      </c>
      <c r="I330" s="37"/>
    </row>
    <row r="331" spans="1:9" ht="12.75">
      <c r="A331" s="44">
        <v>317</v>
      </c>
      <c r="B331" s="46"/>
      <c r="C331" s="10">
        <f t="shared" si="19"/>
        <v>526095.5495960029</v>
      </c>
      <c r="D331" s="10">
        <f t="shared" si="16"/>
        <v>3130.937870119155</v>
      </c>
      <c r="E331" s="10"/>
      <c r="F331" s="10">
        <f t="shared" si="17"/>
        <v>522964.61172588373</v>
      </c>
      <c r="G331" s="10">
        <f t="shared" si="18"/>
        <v>156.1421298808449</v>
      </c>
      <c r="I331" s="37"/>
    </row>
    <row r="332" spans="1:9" ht="12.75">
      <c r="A332" s="44">
        <v>318</v>
      </c>
      <c r="B332" s="46"/>
      <c r="C332" s="10">
        <f t="shared" si="19"/>
        <v>522964.61172588373</v>
      </c>
      <c r="D332" s="10">
        <f t="shared" si="16"/>
        <v>3131.8671144511773</v>
      </c>
      <c r="E332" s="10"/>
      <c r="F332" s="10">
        <f t="shared" si="17"/>
        <v>519832.74461143254</v>
      </c>
      <c r="G332" s="10">
        <f t="shared" si="18"/>
        <v>155.2128855488226</v>
      </c>
      <c r="I332" s="37"/>
    </row>
    <row r="333" spans="1:9" ht="12.75">
      <c r="A333" s="44">
        <v>319</v>
      </c>
      <c r="B333" s="46"/>
      <c r="C333" s="10">
        <f t="shared" si="19"/>
        <v>519832.74461143254</v>
      </c>
      <c r="D333" s="10">
        <f t="shared" si="16"/>
        <v>3132.796634577569</v>
      </c>
      <c r="E333" s="10"/>
      <c r="F333" s="10">
        <f t="shared" si="17"/>
        <v>516699.947976855</v>
      </c>
      <c r="G333" s="10">
        <f t="shared" si="18"/>
        <v>154.28336542243102</v>
      </c>
      <c r="I333" s="37"/>
    </row>
    <row r="334" spans="1:13" ht="12.75">
      <c r="A334" s="44">
        <v>320</v>
      </c>
      <c r="B334" s="46"/>
      <c r="C334" s="10">
        <f t="shared" si="19"/>
        <v>516699.947976855</v>
      </c>
      <c r="D334" s="10">
        <f t="shared" si="16"/>
        <v>3133.726430580181</v>
      </c>
      <c r="E334" s="10"/>
      <c r="F334" s="10">
        <f t="shared" si="17"/>
        <v>513566.2215462748</v>
      </c>
      <c r="G334" s="10">
        <f t="shared" si="18"/>
        <v>153.35356941981894</v>
      </c>
      <c r="H334" s="10"/>
      <c r="I334" s="37"/>
      <c r="J334" s="10"/>
      <c r="K334" s="10"/>
      <c r="L334" s="10">
        <f>K334-K322</f>
        <v>0</v>
      </c>
      <c r="M334" s="54" t="e">
        <f>L334/K322</f>
        <v>#DIV/0!</v>
      </c>
    </row>
    <row r="335" spans="1:9" ht="12.75">
      <c r="A335" s="44">
        <v>321</v>
      </c>
      <c r="B335" s="46"/>
      <c r="C335" s="10">
        <f t="shared" si="19"/>
        <v>513566.2215462748</v>
      </c>
      <c r="D335" s="10">
        <f aca="true" t="shared" si="20" ref="D335:D398">-PPMT($C$6/12,A335,$C$7,$C$5)</f>
        <v>3134.656502540893</v>
      </c>
      <c r="E335" s="10"/>
      <c r="F335" s="10">
        <f aca="true" t="shared" si="21" ref="F335:F398">C335-D335</f>
        <v>510431.56504373386</v>
      </c>
      <c r="G335" s="10">
        <f aca="true" t="shared" si="22" ref="G335:G398">-IPMT($C$6/12,A335,$C$7,$C$5)</f>
        <v>152.42349745910667</v>
      </c>
      <c r="I335" s="37"/>
    </row>
    <row r="336" spans="1:9" ht="12.75">
      <c r="A336" s="44">
        <v>322</v>
      </c>
      <c r="B336" s="46"/>
      <c r="C336" s="10">
        <f aca="true" t="shared" si="23" ref="C336:C399">F335</f>
        <v>510431.56504373386</v>
      </c>
      <c r="D336" s="10">
        <f t="shared" si="20"/>
        <v>3135.5868505416083</v>
      </c>
      <c r="E336" s="10"/>
      <c r="F336" s="10">
        <f t="shared" si="21"/>
        <v>507295.9781931923</v>
      </c>
      <c r="G336" s="10">
        <f t="shared" si="22"/>
        <v>151.49314945839183</v>
      </c>
      <c r="I336" s="37"/>
    </row>
    <row r="337" spans="1:9" ht="12.75">
      <c r="A337" s="44">
        <v>323</v>
      </c>
      <c r="B337" s="46"/>
      <c r="C337" s="10">
        <f t="shared" si="23"/>
        <v>507295.9781931923</v>
      </c>
      <c r="D337" s="10">
        <f t="shared" si="20"/>
        <v>3136.517474664252</v>
      </c>
      <c r="E337" s="10"/>
      <c r="F337" s="10">
        <f t="shared" si="21"/>
        <v>504159.460718528</v>
      </c>
      <c r="G337" s="10">
        <f t="shared" si="22"/>
        <v>150.5625253357478</v>
      </c>
      <c r="I337" s="37"/>
    </row>
    <row r="338" spans="1:9" ht="12.75">
      <c r="A338" s="44">
        <v>324</v>
      </c>
      <c r="B338" s="46"/>
      <c r="C338" s="10">
        <f t="shared" si="23"/>
        <v>504159.460718528</v>
      </c>
      <c r="D338" s="10">
        <f t="shared" si="20"/>
        <v>3137.4483749907777</v>
      </c>
      <c r="E338" s="10">
        <f>SUM(D327:D338)</f>
        <v>37588.0018026458</v>
      </c>
      <c r="F338" s="10">
        <f t="shared" si="21"/>
        <v>501022.01234353724</v>
      </c>
      <c r="G338" s="10">
        <f t="shared" si="22"/>
        <v>149.63162500922218</v>
      </c>
      <c r="H338" s="10">
        <f>SUM(G327:G338)</f>
        <v>1856.9581973541963</v>
      </c>
      <c r="I338" s="37"/>
    </row>
    <row r="339" spans="1:9" ht="12.75">
      <c r="A339" s="44">
        <v>325</v>
      </c>
      <c r="B339" s="46"/>
      <c r="C339" s="10">
        <f t="shared" si="23"/>
        <v>501022.01234353724</v>
      </c>
      <c r="D339" s="10">
        <f t="shared" si="20"/>
        <v>3138.3795516031596</v>
      </c>
      <c r="E339" s="10"/>
      <c r="F339" s="10">
        <f t="shared" si="21"/>
        <v>497883.63279193407</v>
      </c>
      <c r="G339" s="10">
        <f t="shared" si="22"/>
        <v>148.7004483968403</v>
      </c>
      <c r="I339" s="37"/>
    </row>
    <row r="340" spans="1:9" ht="12.75">
      <c r="A340" s="44">
        <v>326</v>
      </c>
      <c r="B340" s="46"/>
      <c r="C340" s="10">
        <f t="shared" si="23"/>
        <v>497883.63279193407</v>
      </c>
      <c r="D340" s="10">
        <f t="shared" si="20"/>
        <v>3139.3110045833996</v>
      </c>
      <c r="E340" s="10"/>
      <c r="F340" s="10">
        <f t="shared" si="21"/>
        <v>494744.3217873507</v>
      </c>
      <c r="G340" s="10">
        <f t="shared" si="22"/>
        <v>147.76899541660038</v>
      </c>
      <c r="I340" s="37"/>
    </row>
    <row r="341" spans="1:9" ht="12.75">
      <c r="A341" s="44">
        <v>327</v>
      </c>
      <c r="B341" s="46"/>
      <c r="C341" s="10">
        <f t="shared" si="23"/>
        <v>494744.3217873507</v>
      </c>
      <c r="D341" s="10">
        <f t="shared" si="20"/>
        <v>3140.242734013519</v>
      </c>
      <c r="E341" s="10"/>
      <c r="F341" s="10">
        <f t="shared" si="21"/>
        <v>491604.07905333716</v>
      </c>
      <c r="G341" s="10">
        <f t="shared" si="22"/>
        <v>146.83726598648076</v>
      </c>
      <c r="I341" s="37"/>
    </row>
    <row r="342" spans="1:9" ht="12.75">
      <c r="A342" s="44">
        <v>328</v>
      </c>
      <c r="B342" s="46"/>
      <c r="C342" s="10">
        <f t="shared" si="23"/>
        <v>491604.07905333716</v>
      </c>
      <c r="D342" s="10">
        <f t="shared" si="20"/>
        <v>3141.17473997557</v>
      </c>
      <c r="E342" s="10"/>
      <c r="F342" s="10">
        <f t="shared" si="21"/>
        <v>488462.90431336156</v>
      </c>
      <c r="G342" s="10">
        <f t="shared" si="22"/>
        <v>145.90526002442977</v>
      </c>
      <c r="I342" s="37"/>
    </row>
    <row r="343" spans="1:9" ht="12.75">
      <c r="A343" s="44">
        <v>329</v>
      </c>
      <c r="B343" s="46"/>
      <c r="C343" s="10">
        <f t="shared" si="23"/>
        <v>488462.90431336156</v>
      </c>
      <c r="D343" s="10">
        <f t="shared" si="20"/>
        <v>3142.1070225516232</v>
      </c>
      <c r="E343" s="10"/>
      <c r="F343" s="10">
        <f t="shared" si="21"/>
        <v>485320.7972908099</v>
      </c>
      <c r="G343" s="10">
        <f t="shared" si="22"/>
        <v>144.9729774483766</v>
      </c>
      <c r="I343" s="37"/>
    </row>
    <row r="344" spans="1:9" ht="12.75">
      <c r="A344" s="44">
        <v>330</v>
      </c>
      <c r="B344" s="46"/>
      <c r="C344" s="10">
        <f t="shared" si="23"/>
        <v>485320.7972908099</v>
      </c>
      <c r="D344" s="10">
        <f t="shared" si="20"/>
        <v>3143.039581823778</v>
      </c>
      <c r="E344" s="10"/>
      <c r="F344" s="10">
        <f t="shared" si="21"/>
        <v>482177.7577089861</v>
      </c>
      <c r="G344" s="10">
        <f t="shared" si="22"/>
        <v>144.04041817622183</v>
      </c>
      <c r="I344" s="37"/>
    </row>
    <row r="345" spans="1:9" ht="12.75">
      <c r="A345" s="44">
        <v>331</v>
      </c>
      <c r="B345" s="46"/>
      <c r="C345" s="10">
        <f t="shared" si="23"/>
        <v>482177.7577089861</v>
      </c>
      <c r="D345" s="10">
        <f t="shared" si="20"/>
        <v>3143.972417874154</v>
      </c>
      <c r="E345" s="10"/>
      <c r="F345" s="10">
        <f t="shared" si="21"/>
        <v>479033.78529111197</v>
      </c>
      <c r="G345" s="10">
        <f t="shared" si="22"/>
        <v>143.10758212584602</v>
      </c>
      <c r="I345" s="37"/>
    </row>
    <row r="346" spans="1:13" ht="12.75">
      <c r="A346" s="44">
        <v>332</v>
      </c>
      <c r="B346" s="46"/>
      <c r="C346" s="10">
        <f t="shared" si="23"/>
        <v>479033.78529111197</v>
      </c>
      <c r="D346" s="10">
        <f t="shared" si="20"/>
        <v>3144.9055307848994</v>
      </c>
      <c r="E346" s="10"/>
      <c r="F346" s="10">
        <f t="shared" si="21"/>
        <v>475888.87976032705</v>
      </c>
      <c r="G346" s="10">
        <f t="shared" si="22"/>
        <v>142.17446921510032</v>
      </c>
      <c r="H346" s="10"/>
      <c r="I346" s="37"/>
      <c r="J346" s="10"/>
      <c r="K346" s="10"/>
      <c r="L346" s="10">
        <f>K346-K334</f>
        <v>0</v>
      </c>
      <c r="M346" s="54" t="e">
        <f>L346/K334</f>
        <v>#DIV/0!</v>
      </c>
    </row>
    <row r="347" spans="1:9" ht="12.75">
      <c r="A347" s="44">
        <v>333</v>
      </c>
      <c r="B347" s="46"/>
      <c r="C347" s="10">
        <f t="shared" si="23"/>
        <v>475888.87976032705</v>
      </c>
      <c r="D347" s="10">
        <f t="shared" si="20"/>
        <v>3145.8389206381835</v>
      </c>
      <c r="E347" s="10"/>
      <c r="F347" s="10">
        <f t="shared" si="21"/>
        <v>472743.04083968885</v>
      </c>
      <c r="G347" s="10">
        <f t="shared" si="22"/>
        <v>141.24107936181636</v>
      </c>
      <c r="I347" s="37"/>
    </row>
    <row r="348" spans="1:9" ht="12.75">
      <c r="A348" s="44">
        <v>334</v>
      </c>
      <c r="B348" s="46"/>
      <c r="C348" s="10">
        <f t="shared" si="23"/>
        <v>472743.04083968885</v>
      </c>
      <c r="D348" s="10">
        <f t="shared" si="20"/>
        <v>3146.7725875162014</v>
      </c>
      <c r="E348" s="10"/>
      <c r="F348" s="10">
        <f t="shared" si="21"/>
        <v>469596.2682521726</v>
      </c>
      <c r="G348" s="10">
        <f t="shared" si="22"/>
        <v>140.30741248379871</v>
      </c>
      <c r="I348" s="37"/>
    </row>
    <row r="349" spans="1:9" ht="12.75">
      <c r="A349" s="44">
        <v>335</v>
      </c>
      <c r="B349" s="46"/>
      <c r="C349" s="10">
        <f t="shared" si="23"/>
        <v>469596.2682521726</v>
      </c>
      <c r="D349" s="10">
        <f t="shared" si="20"/>
        <v>3147.706531501173</v>
      </c>
      <c r="E349" s="10"/>
      <c r="F349" s="10">
        <f t="shared" si="21"/>
        <v>466448.5617206714</v>
      </c>
      <c r="G349" s="10">
        <f t="shared" si="22"/>
        <v>139.37346849882735</v>
      </c>
      <c r="I349" s="37"/>
    </row>
    <row r="350" spans="1:9" ht="12.75">
      <c r="A350" s="44">
        <v>336</v>
      </c>
      <c r="B350" s="46"/>
      <c r="C350" s="10">
        <f t="shared" si="23"/>
        <v>466448.5617206714</v>
      </c>
      <c r="D350" s="10">
        <f t="shared" si="20"/>
        <v>3148.6407526753405</v>
      </c>
      <c r="E350" s="10">
        <f>SUM(D339:D350)</f>
        <v>37722.09137554099</v>
      </c>
      <c r="F350" s="10">
        <f t="shared" si="21"/>
        <v>463299.92096799606</v>
      </c>
      <c r="G350" s="10">
        <f t="shared" si="22"/>
        <v>138.4392473246595</v>
      </c>
      <c r="H350" s="10">
        <f>SUM(G339:G350)</f>
        <v>1722.868624458998</v>
      </c>
      <c r="I350" s="37"/>
    </row>
    <row r="351" spans="1:9" ht="12.75">
      <c r="A351" s="44">
        <v>337</v>
      </c>
      <c r="B351" s="46"/>
      <c r="C351" s="10">
        <f t="shared" si="23"/>
        <v>463299.92096799606</v>
      </c>
      <c r="D351" s="10">
        <f t="shared" si="20"/>
        <v>3149.575251120975</v>
      </c>
      <c r="E351" s="10"/>
      <c r="F351" s="10">
        <f t="shared" si="21"/>
        <v>460150.3457168751</v>
      </c>
      <c r="G351" s="10">
        <f t="shared" si="22"/>
        <v>137.50474887902524</v>
      </c>
      <c r="I351" s="37"/>
    </row>
    <row r="352" spans="1:9" ht="12.75">
      <c r="A352" s="44">
        <v>338</v>
      </c>
      <c r="B352" s="46"/>
      <c r="C352" s="10">
        <f t="shared" si="23"/>
        <v>460150.3457168751</v>
      </c>
      <c r="D352" s="10">
        <f t="shared" si="20"/>
        <v>3150.510026920366</v>
      </c>
      <c r="E352" s="10"/>
      <c r="F352" s="10">
        <f t="shared" si="21"/>
        <v>456999.83568995475</v>
      </c>
      <c r="G352" s="10">
        <f t="shared" si="22"/>
        <v>136.56997307963397</v>
      </c>
      <c r="I352" s="37"/>
    </row>
    <row r="353" spans="1:9" ht="12.75">
      <c r="A353" s="44">
        <v>339</v>
      </c>
      <c r="B353" s="46"/>
      <c r="C353" s="10">
        <f t="shared" si="23"/>
        <v>456999.83568995475</v>
      </c>
      <c r="D353" s="10">
        <f t="shared" si="20"/>
        <v>3151.4450801558323</v>
      </c>
      <c r="E353" s="10"/>
      <c r="F353" s="10">
        <f t="shared" si="21"/>
        <v>453848.3906097989</v>
      </c>
      <c r="G353" s="10">
        <f t="shared" si="22"/>
        <v>135.63491984416737</v>
      </c>
      <c r="I353" s="37"/>
    </row>
    <row r="354" spans="1:9" ht="12.75">
      <c r="A354" s="44">
        <v>340</v>
      </c>
      <c r="B354" s="46"/>
      <c r="C354" s="10">
        <f t="shared" si="23"/>
        <v>453848.3906097989</v>
      </c>
      <c r="D354" s="10">
        <f t="shared" si="20"/>
        <v>3152.3804109097155</v>
      </c>
      <c r="E354" s="10"/>
      <c r="F354" s="10">
        <f t="shared" si="21"/>
        <v>450696.0101988892</v>
      </c>
      <c r="G354" s="10">
        <f t="shared" si="22"/>
        <v>134.69958909028423</v>
      </c>
      <c r="I354" s="37"/>
    </row>
    <row r="355" spans="1:9" ht="12.75">
      <c r="A355" s="44">
        <v>341</v>
      </c>
      <c r="B355" s="46"/>
      <c r="C355" s="10">
        <f t="shared" si="23"/>
        <v>450696.0101988892</v>
      </c>
      <c r="D355" s="10">
        <f t="shared" si="20"/>
        <v>3153.316019264381</v>
      </c>
      <c r="E355" s="10"/>
      <c r="F355" s="10">
        <f t="shared" si="21"/>
        <v>447542.6941796248</v>
      </c>
      <c r="G355" s="10">
        <f t="shared" si="22"/>
        <v>133.76398073561896</v>
      </c>
      <c r="I355" s="37"/>
    </row>
    <row r="356" spans="1:9" ht="12.75">
      <c r="A356" s="44">
        <v>342</v>
      </c>
      <c r="B356" s="46"/>
      <c r="C356" s="10">
        <f t="shared" si="23"/>
        <v>447542.6941796248</v>
      </c>
      <c r="D356" s="10">
        <f t="shared" si="20"/>
        <v>3154.2519053022183</v>
      </c>
      <c r="E356" s="10"/>
      <c r="F356" s="10">
        <f t="shared" si="21"/>
        <v>444388.44227432256</v>
      </c>
      <c r="G356" s="10">
        <f t="shared" si="22"/>
        <v>132.82809469778158</v>
      </c>
      <c r="I356" s="37"/>
    </row>
    <row r="357" spans="1:9" ht="12.75">
      <c r="A357" s="44">
        <v>343</v>
      </c>
      <c r="B357" s="46"/>
      <c r="C357" s="10">
        <f t="shared" si="23"/>
        <v>444388.44227432256</v>
      </c>
      <c r="D357" s="10">
        <f t="shared" si="20"/>
        <v>3155.188069105643</v>
      </c>
      <c r="E357" s="10"/>
      <c r="F357" s="10">
        <f t="shared" si="21"/>
        <v>441233.2542052169</v>
      </c>
      <c r="G357" s="10">
        <f t="shared" si="22"/>
        <v>131.89193089435682</v>
      </c>
      <c r="I357" s="37"/>
    </row>
    <row r="358" spans="1:13" ht="12.75">
      <c r="A358" s="44">
        <v>344</v>
      </c>
      <c r="B358" s="46"/>
      <c r="C358" s="10">
        <f t="shared" si="23"/>
        <v>441233.2542052169</v>
      </c>
      <c r="D358" s="10">
        <f t="shared" si="20"/>
        <v>3156.124510757094</v>
      </c>
      <c r="E358" s="10"/>
      <c r="F358" s="10">
        <f t="shared" si="21"/>
        <v>438077.1296944598</v>
      </c>
      <c r="G358" s="10">
        <f t="shared" si="22"/>
        <v>130.9554892429062</v>
      </c>
      <c r="H358" s="10"/>
      <c r="I358" s="37"/>
      <c r="J358" s="10"/>
      <c r="K358" s="10"/>
      <c r="L358" s="10">
        <f>K358-K346</f>
        <v>0</v>
      </c>
      <c r="M358" s="54" t="e">
        <f>L358/K346</f>
        <v>#DIV/0!</v>
      </c>
    </row>
    <row r="359" spans="1:9" ht="12.75">
      <c r="A359" s="44">
        <v>345</v>
      </c>
      <c r="B359" s="46"/>
      <c r="C359" s="10">
        <f t="shared" si="23"/>
        <v>438077.1296944598</v>
      </c>
      <c r="D359" s="10">
        <f t="shared" si="20"/>
        <v>3157.0612303390353</v>
      </c>
      <c r="E359" s="10"/>
      <c r="F359" s="10">
        <f t="shared" si="21"/>
        <v>434920.06846412073</v>
      </c>
      <c r="G359" s="10">
        <f t="shared" si="22"/>
        <v>130.0187696609645</v>
      </c>
      <c r="I359" s="37"/>
    </row>
    <row r="360" spans="1:9" ht="12.75">
      <c r="A360" s="44">
        <v>346</v>
      </c>
      <c r="B360" s="46"/>
      <c r="C360" s="10">
        <f t="shared" si="23"/>
        <v>434920.06846412073</v>
      </c>
      <c r="D360" s="10">
        <f t="shared" si="20"/>
        <v>3157.9982279339547</v>
      </c>
      <c r="E360" s="10"/>
      <c r="F360" s="10">
        <f t="shared" si="21"/>
        <v>431762.0702361868</v>
      </c>
      <c r="G360" s="10">
        <f t="shared" si="22"/>
        <v>129.0817720660451</v>
      </c>
      <c r="I360" s="37"/>
    </row>
    <row r="361" spans="1:9" ht="12.75">
      <c r="A361" s="44">
        <v>347</v>
      </c>
      <c r="B361" s="46"/>
      <c r="C361" s="10">
        <f t="shared" si="23"/>
        <v>431762.0702361868</v>
      </c>
      <c r="D361" s="10">
        <f t="shared" si="20"/>
        <v>3158.9355036243655</v>
      </c>
      <c r="E361" s="10"/>
      <c r="F361" s="10">
        <f t="shared" si="21"/>
        <v>428603.1347325624</v>
      </c>
      <c r="G361" s="10">
        <f t="shared" si="22"/>
        <v>128.14449637563447</v>
      </c>
      <c r="I361" s="37"/>
    </row>
    <row r="362" spans="1:9" ht="12.75">
      <c r="A362" s="44">
        <v>348</v>
      </c>
      <c r="B362" s="46"/>
      <c r="C362" s="10">
        <f t="shared" si="23"/>
        <v>428603.1347325624</v>
      </c>
      <c r="D362" s="10">
        <f t="shared" si="20"/>
        <v>3159.8730574928045</v>
      </c>
      <c r="E362" s="10">
        <f>SUM(D351:D362)</f>
        <v>37856.659292926386</v>
      </c>
      <c r="F362" s="10">
        <f t="shared" si="21"/>
        <v>425443.26167506963</v>
      </c>
      <c r="G362" s="10">
        <f t="shared" si="22"/>
        <v>127.20694250719552</v>
      </c>
      <c r="H362" s="10">
        <f>SUM(G351:G362)</f>
        <v>1588.3007070736137</v>
      </c>
      <c r="I362" s="37"/>
    </row>
    <row r="363" spans="1:9" ht="12.75">
      <c r="A363" s="44">
        <v>349</v>
      </c>
      <c r="B363" s="46"/>
      <c r="C363" s="10">
        <f t="shared" si="23"/>
        <v>425443.26167506963</v>
      </c>
      <c r="D363" s="10">
        <f t="shared" si="20"/>
        <v>3160.8108896218323</v>
      </c>
      <c r="E363" s="10"/>
      <c r="F363" s="10">
        <f t="shared" si="21"/>
        <v>422282.4507854478</v>
      </c>
      <c r="G363" s="10">
        <f t="shared" si="22"/>
        <v>126.26911037816744</v>
      </c>
      <c r="I363" s="37"/>
    </row>
    <row r="364" spans="1:9" ht="12.75">
      <c r="A364" s="44">
        <v>350</v>
      </c>
      <c r="B364" s="46"/>
      <c r="C364" s="10">
        <f t="shared" si="23"/>
        <v>422282.4507854478</v>
      </c>
      <c r="D364" s="10">
        <f t="shared" si="20"/>
        <v>3161.749000094036</v>
      </c>
      <c r="E364" s="10"/>
      <c r="F364" s="10">
        <f t="shared" si="21"/>
        <v>419120.70178535377</v>
      </c>
      <c r="G364" s="10">
        <f t="shared" si="22"/>
        <v>125.33099990596405</v>
      </c>
      <c r="I364" s="37"/>
    </row>
    <row r="365" spans="1:9" ht="12.75">
      <c r="A365" s="44">
        <v>351</v>
      </c>
      <c r="B365" s="46"/>
      <c r="C365" s="10">
        <f t="shared" si="23"/>
        <v>419120.70178535377</v>
      </c>
      <c r="D365" s="10">
        <f t="shared" si="20"/>
        <v>3162.687388992028</v>
      </c>
      <c r="E365" s="10"/>
      <c r="F365" s="10">
        <f t="shared" si="21"/>
        <v>415958.0143963617</v>
      </c>
      <c r="G365" s="10">
        <f t="shared" si="22"/>
        <v>124.39261100797205</v>
      </c>
      <c r="I365" s="37"/>
    </row>
    <row r="366" spans="1:9" ht="12.75">
      <c r="A366" s="44">
        <v>352</v>
      </c>
      <c r="B366" s="46"/>
      <c r="C366" s="10">
        <f t="shared" si="23"/>
        <v>415958.0143963617</v>
      </c>
      <c r="D366" s="10">
        <f t="shared" si="20"/>
        <v>3163.62605639844</v>
      </c>
      <c r="E366" s="10"/>
      <c r="F366" s="10">
        <f t="shared" si="21"/>
        <v>412794.3883399633</v>
      </c>
      <c r="G366" s="10">
        <f t="shared" si="22"/>
        <v>123.45394360155977</v>
      </c>
      <c r="I366" s="37"/>
    </row>
    <row r="367" spans="1:9" ht="12.75">
      <c r="A367" s="44">
        <v>353</v>
      </c>
      <c r="B367" s="46"/>
      <c r="C367" s="10">
        <f t="shared" si="23"/>
        <v>412794.3883399633</v>
      </c>
      <c r="D367" s="10">
        <f t="shared" si="20"/>
        <v>3164.565002395934</v>
      </c>
      <c r="E367" s="10"/>
      <c r="F367" s="10">
        <f t="shared" si="21"/>
        <v>409629.82333756733</v>
      </c>
      <c r="G367" s="10">
        <f t="shared" si="22"/>
        <v>122.51499760406598</v>
      </c>
      <c r="I367" s="37"/>
    </row>
    <row r="368" spans="1:9" ht="12.75">
      <c r="A368" s="44">
        <v>354</v>
      </c>
      <c r="B368" s="46"/>
      <c r="C368" s="10">
        <f t="shared" si="23"/>
        <v>409629.82333756733</v>
      </c>
      <c r="D368" s="10">
        <f t="shared" si="20"/>
        <v>3165.5042270671934</v>
      </c>
      <c r="E368" s="10"/>
      <c r="F368" s="10">
        <f t="shared" si="21"/>
        <v>406464.31911050016</v>
      </c>
      <c r="G368" s="10">
        <f t="shared" si="22"/>
        <v>121.5757729328064</v>
      </c>
      <c r="I368" s="37"/>
    </row>
    <row r="369" spans="1:9" ht="12.75">
      <c r="A369" s="44">
        <v>355</v>
      </c>
      <c r="B369" s="46"/>
      <c r="C369" s="10">
        <f t="shared" si="23"/>
        <v>406464.31911050016</v>
      </c>
      <c r="D369" s="10">
        <f t="shared" si="20"/>
        <v>3166.4437304949274</v>
      </c>
      <c r="E369" s="10"/>
      <c r="F369" s="10">
        <f t="shared" si="21"/>
        <v>403297.8753800052</v>
      </c>
      <c r="G369" s="10">
        <f t="shared" si="22"/>
        <v>120.63626950507266</v>
      </c>
      <c r="I369" s="37"/>
    </row>
    <row r="370" spans="1:13" ht="12.75">
      <c r="A370" s="44">
        <v>356</v>
      </c>
      <c r="B370" s="46"/>
      <c r="C370" s="10">
        <f t="shared" si="23"/>
        <v>403297.8753800052</v>
      </c>
      <c r="D370" s="10">
        <f t="shared" si="20"/>
        <v>3167.3835127618695</v>
      </c>
      <c r="E370" s="10"/>
      <c r="F370" s="10">
        <f t="shared" si="21"/>
        <v>400130.49186724337</v>
      </c>
      <c r="G370" s="10">
        <f t="shared" si="22"/>
        <v>119.69648723813063</v>
      </c>
      <c r="H370" s="10"/>
      <c r="I370" s="37"/>
      <c r="J370" s="10"/>
      <c r="K370" s="10"/>
      <c r="L370" s="10">
        <f>K370-K358</f>
        <v>0</v>
      </c>
      <c r="M370" s="54" t="e">
        <f>L370/K358</f>
        <v>#DIV/0!</v>
      </c>
    </row>
    <row r="371" spans="1:9" ht="12.75">
      <c r="A371" s="44">
        <v>357</v>
      </c>
      <c r="B371" s="46"/>
      <c r="C371" s="10">
        <f t="shared" si="23"/>
        <v>400130.49186724337</v>
      </c>
      <c r="D371" s="10">
        <f t="shared" si="20"/>
        <v>3168.3235739507763</v>
      </c>
      <c r="E371" s="10"/>
      <c r="F371" s="10">
        <f t="shared" si="21"/>
        <v>396962.1682932926</v>
      </c>
      <c r="G371" s="10">
        <f t="shared" si="22"/>
        <v>118.75642604922339</v>
      </c>
      <c r="I371" s="37"/>
    </row>
    <row r="372" spans="1:9" ht="12.75">
      <c r="A372" s="44">
        <v>358</v>
      </c>
      <c r="B372" s="46"/>
      <c r="C372" s="10">
        <f t="shared" si="23"/>
        <v>396962.1682932926</v>
      </c>
      <c r="D372" s="10">
        <f t="shared" si="20"/>
        <v>3169.263914144432</v>
      </c>
      <c r="E372" s="10"/>
      <c r="F372" s="10">
        <f t="shared" si="21"/>
        <v>393792.90437914815</v>
      </c>
      <c r="G372" s="10">
        <f t="shared" si="22"/>
        <v>117.81608585556796</v>
      </c>
      <c r="I372" s="37"/>
    </row>
    <row r="373" spans="1:9" ht="12.75">
      <c r="A373" s="44">
        <v>359</v>
      </c>
      <c r="B373" s="46"/>
      <c r="C373" s="10">
        <f t="shared" si="23"/>
        <v>393792.90437914815</v>
      </c>
      <c r="D373" s="10">
        <f t="shared" si="20"/>
        <v>3170.2045334256427</v>
      </c>
      <c r="E373" s="10"/>
      <c r="F373" s="10">
        <f t="shared" si="21"/>
        <v>390622.6998457225</v>
      </c>
      <c r="G373" s="10">
        <f t="shared" si="22"/>
        <v>116.87546657435729</v>
      </c>
      <c r="I373" s="37"/>
    </row>
    <row r="374" spans="1:9" ht="12.75">
      <c r="A374" s="44">
        <v>360</v>
      </c>
      <c r="B374" s="46"/>
      <c r="C374" s="10">
        <f t="shared" si="23"/>
        <v>390622.6998457225</v>
      </c>
      <c r="D374" s="10">
        <f t="shared" si="20"/>
        <v>3171.1454318772394</v>
      </c>
      <c r="E374" s="10">
        <f>SUM(D363:D374)</f>
        <v>37991.70726122435</v>
      </c>
      <c r="F374" s="10">
        <f t="shared" si="21"/>
        <v>387451.5544138453</v>
      </c>
      <c r="G374" s="10">
        <f t="shared" si="22"/>
        <v>115.93456812276034</v>
      </c>
      <c r="H374" s="10">
        <f>SUM(G363:G374)</f>
        <v>1453.252738775648</v>
      </c>
      <c r="I374" s="37"/>
    </row>
    <row r="375" spans="1:9" ht="12.75">
      <c r="A375" s="44">
        <v>361</v>
      </c>
      <c r="B375" s="46"/>
      <c r="C375" s="10">
        <f t="shared" si="23"/>
        <v>387451.5544138453</v>
      </c>
      <c r="D375" s="10">
        <f t="shared" si="20"/>
        <v>3172.0866095820793</v>
      </c>
      <c r="E375" s="10"/>
      <c r="F375" s="10">
        <f t="shared" si="21"/>
        <v>384279.46780426323</v>
      </c>
      <c r="G375" s="10">
        <f t="shared" si="22"/>
        <v>114.99339041792085</v>
      </c>
      <c r="I375" s="37"/>
    </row>
    <row r="376" spans="1:9" ht="12.75">
      <c r="A376" s="44">
        <v>362</v>
      </c>
      <c r="B376" s="46"/>
      <c r="C376" s="10">
        <f t="shared" si="23"/>
        <v>384279.46780426323</v>
      </c>
      <c r="D376" s="10">
        <f t="shared" si="20"/>
        <v>3173.028066623043</v>
      </c>
      <c r="E376" s="10"/>
      <c r="F376" s="10">
        <f t="shared" si="21"/>
        <v>381106.4397376402</v>
      </c>
      <c r="G376" s="10">
        <f t="shared" si="22"/>
        <v>114.051933376957</v>
      </c>
      <c r="I376" s="37"/>
    </row>
    <row r="377" spans="1:9" ht="12.75">
      <c r="A377" s="44">
        <v>363</v>
      </c>
      <c r="B377" s="46"/>
      <c r="C377" s="10">
        <f t="shared" si="23"/>
        <v>381106.4397376402</v>
      </c>
      <c r="D377" s="10">
        <f t="shared" si="20"/>
        <v>3173.969803083035</v>
      </c>
      <c r="E377" s="10"/>
      <c r="F377" s="10">
        <f t="shared" si="21"/>
        <v>377932.46993455716</v>
      </c>
      <c r="G377" s="10">
        <f t="shared" si="22"/>
        <v>113.11019691696514</v>
      </c>
      <c r="I377" s="37"/>
    </row>
    <row r="378" spans="1:9" ht="12.75">
      <c r="A378" s="44">
        <v>364</v>
      </c>
      <c r="B378" s="46"/>
      <c r="C378" s="10">
        <f t="shared" si="23"/>
        <v>377932.46993455716</v>
      </c>
      <c r="D378" s="10">
        <f t="shared" si="20"/>
        <v>3174.911819044986</v>
      </c>
      <c r="E378" s="10"/>
      <c r="F378" s="10">
        <f t="shared" si="21"/>
        <v>374757.5581155122</v>
      </c>
      <c r="G378" s="10">
        <f t="shared" si="22"/>
        <v>112.16818095501402</v>
      </c>
      <c r="I378" s="37"/>
    </row>
    <row r="379" spans="1:9" ht="12.75">
      <c r="A379" s="44">
        <v>365</v>
      </c>
      <c r="B379" s="46"/>
      <c r="C379" s="10">
        <f t="shared" si="23"/>
        <v>374757.5581155122</v>
      </c>
      <c r="D379" s="10">
        <f t="shared" si="20"/>
        <v>3175.8541145918507</v>
      </c>
      <c r="E379" s="10"/>
      <c r="F379" s="10">
        <f t="shared" si="21"/>
        <v>371581.70400092035</v>
      </c>
      <c r="G379" s="10">
        <f t="shared" si="22"/>
        <v>111.22588540814928</v>
      </c>
      <c r="I379" s="37"/>
    </row>
    <row r="380" spans="1:9" ht="12.75">
      <c r="A380" s="44">
        <v>366</v>
      </c>
      <c r="B380" s="46"/>
      <c r="C380" s="10">
        <f t="shared" si="23"/>
        <v>371581.70400092035</v>
      </c>
      <c r="D380" s="10">
        <f t="shared" si="20"/>
        <v>3176.796689806607</v>
      </c>
      <c r="E380" s="10"/>
      <c r="F380" s="10">
        <f t="shared" si="21"/>
        <v>368404.9073111137</v>
      </c>
      <c r="G380" s="10">
        <f t="shared" si="22"/>
        <v>110.28331019339291</v>
      </c>
      <c r="I380" s="37"/>
    </row>
    <row r="381" spans="1:9" ht="12.75">
      <c r="A381" s="44">
        <v>367</v>
      </c>
      <c r="B381" s="46"/>
      <c r="C381" s="10">
        <f t="shared" si="23"/>
        <v>368404.9073111137</v>
      </c>
      <c r="D381" s="10">
        <f t="shared" si="20"/>
        <v>3177.7395447722606</v>
      </c>
      <c r="E381" s="10"/>
      <c r="F381" s="10">
        <f t="shared" si="21"/>
        <v>365227.1677663415</v>
      </c>
      <c r="G381" s="10">
        <f t="shared" si="22"/>
        <v>109.34045522773923</v>
      </c>
      <c r="I381" s="37"/>
    </row>
    <row r="382" spans="1:13" ht="12.75">
      <c r="A382" s="44">
        <v>368</v>
      </c>
      <c r="B382" s="46"/>
      <c r="C382" s="10">
        <f t="shared" si="23"/>
        <v>365227.1677663415</v>
      </c>
      <c r="D382" s="10">
        <f t="shared" si="20"/>
        <v>3178.682679571839</v>
      </c>
      <c r="E382" s="10"/>
      <c r="F382" s="10">
        <f t="shared" si="21"/>
        <v>362048.4850867696</v>
      </c>
      <c r="G382" s="10">
        <f t="shared" si="22"/>
        <v>108.39732042816097</v>
      </c>
      <c r="H382" s="10"/>
      <c r="I382" s="37"/>
      <c r="J382" s="10"/>
      <c r="K382" s="10"/>
      <c r="L382" s="10">
        <f>K382-K370</f>
        <v>0</v>
      </c>
      <c r="M382" s="54" t="e">
        <f>L382/K370</f>
        <v>#DIV/0!</v>
      </c>
    </row>
    <row r="383" spans="1:9" ht="12.75">
      <c r="A383" s="44">
        <v>369</v>
      </c>
      <c r="B383" s="46"/>
      <c r="C383" s="10">
        <f t="shared" si="23"/>
        <v>362048.4850867696</v>
      </c>
      <c r="D383" s="10">
        <f t="shared" si="20"/>
        <v>3179.6260942883955</v>
      </c>
      <c r="E383" s="10"/>
      <c r="F383" s="10">
        <f t="shared" si="21"/>
        <v>358868.85899248125</v>
      </c>
      <c r="G383" s="10">
        <f t="shared" si="22"/>
        <v>107.45390571160432</v>
      </c>
      <c r="I383" s="37"/>
    </row>
    <row r="384" spans="1:9" ht="12.75">
      <c r="A384" s="44">
        <v>370</v>
      </c>
      <c r="B384" s="46"/>
      <c r="C384" s="10">
        <f t="shared" si="23"/>
        <v>358868.85899248125</v>
      </c>
      <c r="D384" s="10">
        <f t="shared" si="20"/>
        <v>3180.5697890050074</v>
      </c>
      <c r="E384" s="10"/>
      <c r="F384" s="10">
        <f t="shared" si="21"/>
        <v>355688.2892034762</v>
      </c>
      <c r="G384" s="10">
        <f t="shared" si="22"/>
        <v>106.51021099499256</v>
      </c>
      <c r="I384" s="37"/>
    </row>
    <row r="385" spans="1:9" ht="12.75">
      <c r="A385" s="44">
        <v>371</v>
      </c>
      <c r="B385" s="46"/>
      <c r="C385" s="10">
        <f t="shared" si="23"/>
        <v>355688.2892034762</v>
      </c>
      <c r="D385" s="10">
        <f t="shared" si="20"/>
        <v>3181.513763804777</v>
      </c>
      <c r="E385" s="10"/>
      <c r="F385" s="10">
        <f t="shared" si="21"/>
        <v>352506.7754396714</v>
      </c>
      <c r="G385" s="10">
        <f t="shared" si="22"/>
        <v>105.5662361952225</v>
      </c>
      <c r="I385" s="37"/>
    </row>
    <row r="386" spans="1:9" ht="12.75">
      <c r="A386" s="44">
        <v>372</v>
      </c>
      <c r="B386" s="46"/>
      <c r="C386" s="10">
        <f t="shared" si="23"/>
        <v>352506.7754396714</v>
      </c>
      <c r="D386" s="10">
        <f t="shared" si="20"/>
        <v>3182.458018770833</v>
      </c>
      <c r="E386" s="10">
        <f>SUM(D375:D386)</f>
        <v>38127.236992944716</v>
      </c>
      <c r="F386" s="10">
        <f t="shared" si="21"/>
        <v>349324.31742090057</v>
      </c>
      <c r="G386" s="10">
        <f t="shared" si="22"/>
        <v>104.62198122916683</v>
      </c>
      <c r="H386" s="10">
        <f>SUM(G375:G386)</f>
        <v>1317.7230070552853</v>
      </c>
      <c r="I386" s="37"/>
    </row>
    <row r="387" spans="1:9" ht="12.75">
      <c r="A387" s="44">
        <v>373</v>
      </c>
      <c r="B387" s="46"/>
      <c r="C387" s="10">
        <f t="shared" si="23"/>
        <v>349324.31742090057</v>
      </c>
      <c r="D387" s="10">
        <f t="shared" si="20"/>
        <v>3183.4025539863255</v>
      </c>
      <c r="E387" s="10"/>
      <c r="F387" s="10">
        <f t="shared" si="21"/>
        <v>346140.9148669142</v>
      </c>
      <c r="G387" s="10">
        <f t="shared" si="22"/>
        <v>103.67744601367431</v>
      </c>
      <c r="I387" s="37"/>
    </row>
    <row r="388" spans="1:9" ht="12.75">
      <c r="A388" s="44">
        <v>374</v>
      </c>
      <c r="B388" s="46"/>
      <c r="C388" s="10">
        <f t="shared" si="23"/>
        <v>346140.9148669142</v>
      </c>
      <c r="D388" s="10">
        <f t="shared" si="20"/>
        <v>3184.347369534432</v>
      </c>
      <c r="E388" s="10"/>
      <c r="F388" s="10">
        <f t="shared" si="21"/>
        <v>342956.5674973798</v>
      </c>
      <c r="G388" s="10">
        <f t="shared" si="22"/>
        <v>102.73263046556814</v>
      </c>
      <c r="I388" s="37"/>
    </row>
    <row r="389" spans="1:9" ht="12.75">
      <c r="A389" s="44">
        <v>375</v>
      </c>
      <c r="B389" s="46"/>
      <c r="C389" s="10">
        <f t="shared" si="23"/>
        <v>342956.5674973798</v>
      </c>
      <c r="D389" s="10">
        <f t="shared" si="20"/>
        <v>3185.2924654983517</v>
      </c>
      <c r="E389" s="10"/>
      <c r="F389" s="10">
        <f t="shared" si="21"/>
        <v>339771.2750318814</v>
      </c>
      <c r="G389" s="10">
        <f t="shared" si="22"/>
        <v>101.78753450164831</v>
      </c>
      <c r="I389" s="37"/>
    </row>
    <row r="390" spans="1:9" ht="12.75">
      <c r="A390" s="44">
        <v>376</v>
      </c>
      <c r="B390" s="46"/>
      <c r="C390" s="10">
        <f t="shared" si="23"/>
        <v>339771.2750318814</v>
      </c>
      <c r="D390" s="10">
        <f t="shared" si="20"/>
        <v>3186.2378419613115</v>
      </c>
      <c r="E390" s="10"/>
      <c r="F390" s="10">
        <f t="shared" si="21"/>
        <v>336585.0371899201</v>
      </c>
      <c r="G390" s="10">
        <f t="shared" si="22"/>
        <v>100.84215803868825</v>
      </c>
      <c r="I390" s="37"/>
    </row>
    <row r="391" spans="1:9" ht="12.75">
      <c r="A391" s="44">
        <v>377</v>
      </c>
      <c r="B391" s="46"/>
      <c r="C391" s="10">
        <f t="shared" si="23"/>
        <v>336585.0371899201</v>
      </c>
      <c r="D391" s="10">
        <f t="shared" si="20"/>
        <v>3187.1834990065627</v>
      </c>
      <c r="E391" s="10"/>
      <c r="F391" s="10">
        <f t="shared" si="21"/>
        <v>333397.85369091353</v>
      </c>
      <c r="G391" s="10">
        <f t="shared" si="22"/>
        <v>99.89650099343716</v>
      </c>
      <c r="I391" s="37"/>
    </row>
    <row r="392" spans="1:9" ht="12.75">
      <c r="A392" s="44">
        <v>378</v>
      </c>
      <c r="B392" s="46"/>
      <c r="C392" s="10">
        <f t="shared" si="23"/>
        <v>333397.85369091353</v>
      </c>
      <c r="D392" s="10">
        <f t="shared" si="20"/>
        <v>3188.1294367173805</v>
      </c>
      <c r="E392" s="10"/>
      <c r="F392" s="10">
        <f t="shared" si="21"/>
        <v>330209.72425419616</v>
      </c>
      <c r="G392" s="10">
        <f t="shared" si="22"/>
        <v>98.95056328261957</v>
      </c>
      <c r="I392" s="37"/>
    </row>
    <row r="393" spans="1:9" ht="12.75">
      <c r="A393" s="44">
        <v>379</v>
      </c>
      <c r="B393" s="46"/>
      <c r="C393" s="10">
        <f t="shared" si="23"/>
        <v>330209.72425419616</v>
      </c>
      <c r="D393" s="10">
        <f t="shared" si="20"/>
        <v>3189.0756551770633</v>
      </c>
      <c r="E393" s="10"/>
      <c r="F393" s="10">
        <f t="shared" si="21"/>
        <v>327020.6485990191</v>
      </c>
      <c r="G393" s="10">
        <f t="shared" si="22"/>
        <v>98.00434482293684</v>
      </c>
      <c r="I393" s="37"/>
    </row>
    <row r="394" spans="1:13" ht="12.75">
      <c r="A394" s="44">
        <v>380</v>
      </c>
      <c r="B394" s="46"/>
      <c r="C394" s="10">
        <f t="shared" si="23"/>
        <v>327020.6485990191</v>
      </c>
      <c r="D394" s="10">
        <f t="shared" si="20"/>
        <v>3190.0221544689366</v>
      </c>
      <c r="E394" s="10"/>
      <c r="F394" s="10">
        <f t="shared" si="21"/>
        <v>323830.6264445502</v>
      </c>
      <c r="G394" s="10">
        <f t="shared" si="22"/>
        <v>97.05784553106346</v>
      </c>
      <c r="H394" s="10"/>
      <c r="I394" s="37"/>
      <c r="J394" s="10"/>
      <c r="K394" s="10"/>
      <c r="L394" s="10">
        <f>K394-K382</f>
        <v>0</v>
      </c>
      <c r="M394" s="54" t="e">
        <f>L394/K382</f>
        <v>#DIV/0!</v>
      </c>
    </row>
    <row r="395" spans="1:9" ht="12.75">
      <c r="A395" s="44">
        <v>381</v>
      </c>
      <c r="B395" s="46"/>
      <c r="C395" s="10">
        <f t="shared" si="23"/>
        <v>323830.6264445502</v>
      </c>
      <c r="D395" s="10">
        <f t="shared" si="20"/>
        <v>3190.96893467635</v>
      </c>
      <c r="E395" s="10"/>
      <c r="F395" s="10">
        <f t="shared" si="21"/>
        <v>320639.6575098738</v>
      </c>
      <c r="G395" s="10">
        <f t="shared" si="22"/>
        <v>96.11106532364991</v>
      </c>
      <c r="I395" s="37"/>
    </row>
    <row r="396" spans="1:9" ht="12.75">
      <c r="A396" s="44">
        <v>382</v>
      </c>
      <c r="B396" s="46"/>
      <c r="C396" s="10">
        <f t="shared" si="23"/>
        <v>320639.6575098738</v>
      </c>
      <c r="D396" s="10">
        <f t="shared" si="20"/>
        <v>3191.915995882677</v>
      </c>
      <c r="E396" s="10"/>
      <c r="F396" s="10">
        <f t="shared" si="21"/>
        <v>317447.74151399115</v>
      </c>
      <c r="G396" s="10">
        <f t="shared" si="22"/>
        <v>95.16400411732282</v>
      </c>
      <c r="I396" s="37"/>
    </row>
    <row r="397" spans="1:9" ht="12.75">
      <c r="A397" s="44">
        <v>383</v>
      </c>
      <c r="B397" s="46"/>
      <c r="C397" s="10">
        <f t="shared" si="23"/>
        <v>317447.74151399115</v>
      </c>
      <c r="D397" s="10">
        <f t="shared" si="20"/>
        <v>3192.8633381713184</v>
      </c>
      <c r="E397" s="10"/>
      <c r="F397" s="10">
        <f t="shared" si="21"/>
        <v>314254.8781758198</v>
      </c>
      <c r="G397" s="10">
        <f t="shared" si="22"/>
        <v>94.21666182868142</v>
      </c>
      <c r="I397" s="37"/>
    </row>
    <row r="398" spans="1:9" ht="12.75">
      <c r="A398" s="44">
        <v>384</v>
      </c>
      <c r="B398" s="46"/>
      <c r="C398" s="10">
        <f t="shared" si="23"/>
        <v>314254.8781758198</v>
      </c>
      <c r="D398" s="10">
        <f t="shared" si="20"/>
        <v>3193.8109616256947</v>
      </c>
      <c r="E398" s="10">
        <f>SUM(D387:D398)</f>
        <v>38263.2502067064</v>
      </c>
      <c r="F398" s="10">
        <f t="shared" si="21"/>
        <v>311061.0672141941</v>
      </c>
      <c r="G398" s="10">
        <f t="shared" si="22"/>
        <v>93.26903837430537</v>
      </c>
      <c r="H398" s="10">
        <f>SUM(G387:G398)</f>
        <v>1181.7097932935956</v>
      </c>
      <c r="I398" s="37"/>
    </row>
    <row r="399" spans="1:9" ht="12.75">
      <c r="A399" s="44">
        <v>385</v>
      </c>
      <c r="B399" s="46"/>
      <c r="C399" s="10">
        <f t="shared" si="23"/>
        <v>311061.0672141941</v>
      </c>
      <c r="D399" s="10">
        <f aca="true" t="shared" si="24" ref="D399:D462">-PPMT($C$6/12,A399,$C$7,$C$5)</f>
        <v>3194.7588663292563</v>
      </c>
      <c r="E399" s="10"/>
      <c r="F399" s="10">
        <f aca="true" t="shared" si="25" ref="F399:F462">C399-D399</f>
        <v>307866.30834786483</v>
      </c>
      <c r="G399" s="10">
        <f aca="true" t="shared" si="26" ref="G399:G462">-IPMT($C$6/12,A399,$C$7,$C$5)</f>
        <v>92.32113367074385</v>
      </c>
      <c r="I399" s="37"/>
    </row>
    <row r="400" spans="1:9" ht="12.75">
      <c r="A400" s="44">
        <v>386</v>
      </c>
      <c r="B400" s="46"/>
      <c r="C400" s="10">
        <f aca="true" t="shared" si="27" ref="C400:C463">F399</f>
        <v>307866.30834786483</v>
      </c>
      <c r="D400" s="10">
        <f t="shared" si="24"/>
        <v>3195.7070523654766</v>
      </c>
      <c r="E400" s="10"/>
      <c r="F400" s="10">
        <f t="shared" si="25"/>
        <v>304670.60129549936</v>
      </c>
      <c r="G400" s="10">
        <f t="shared" si="26"/>
        <v>91.37294763452338</v>
      </c>
      <c r="I400" s="37"/>
    </row>
    <row r="401" spans="1:9" ht="12.75">
      <c r="A401" s="44">
        <v>387</v>
      </c>
      <c r="B401" s="46"/>
      <c r="C401" s="10">
        <f t="shared" si="27"/>
        <v>304670.60129549936</v>
      </c>
      <c r="D401" s="10">
        <f t="shared" si="24"/>
        <v>3196.655519817852</v>
      </c>
      <c r="E401" s="10"/>
      <c r="F401" s="10">
        <f t="shared" si="25"/>
        <v>301473.9457756815</v>
      </c>
      <c r="G401" s="10">
        <f t="shared" si="26"/>
        <v>90.42448018214769</v>
      </c>
      <c r="I401" s="37"/>
    </row>
    <row r="402" spans="1:9" ht="12.75">
      <c r="A402" s="44">
        <v>388</v>
      </c>
      <c r="B402" s="46"/>
      <c r="C402" s="10">
        <f t="shared" si="27"/>
        <v>301473.9457756815</v>
      </c>
      <c r="D402" s="10">
        <f t="shared" si="24"/>
        <v>3197.604268769907</v>
      </c>
      <c r="E402" s="10"/>
      <c r="F402" s="10">
        <f t="shared" si="25"/>
        <v>298276.3415069116</v>
      </c>
      <c r="G402" s="10">
        <f t="shared" si="26"/>
        <v>89.47573123009325</v>
      </c>
      <c r="I402" s="37"/>
    </row>
    <row r="403" spans="1:9" ht="12.75">
      <c r="A403" s="44">
        <v>389</v>
      </c>
      <c r="B403" s="46"/>
      <c r="C403" s="10">
        <f t="shared" si="27"/>
        <v>298276.3415069116</v>
      </c>
      <c r="D403" s="10">
        <f t="shared" si="24"/>
        <v>3198.553299305187</v>
      </c>
      <c r="E403" s="10"/>
      <c r="F403" s="10">
        <f t="shared" si="25"/>
        <v>295077.7882076064</v>
      </c>
      <c r="G403" s="10">
        <f t="shared" si="26"/>
        <v>88.52670069481306</v>
      </c>
      <c r="I403" s="37"/>
    </row>
    <row r="404" spans="1:9" ht="12.75">
      <c r="A404" s="44">
        <v>390</v>
      </c>
      <c r="B404" s="46"/>
      <c r="C404" s="10">
        <f t="shared" si="27"/>
        <v>295077.7882076064</v>
      </c>
      <c r="D404" s="10">
        <f t="shared" si="24"/>
        <v>3199.5026115072656</v>
      </c>
      <c r="E404" s="10"/>
      <c r="F404" s="10">
        <f t="shared" si="25"/>
        <v>291878.28559609916</v>
      </c>
      <c r="G404" s="10">
        <f t="shared" si="26"/>
        <v>87.57738849273434</v>
      </c>
      <c r="I404" s="37"/>
    </row>
    <row r="405" spans="1:9" ht="12.75">
      <c r="A405" s="44">
        <v>391</v>
      </c>
      <c r="B405" s="46"/>
      <c r="C405" s="10">
        <f t="shared" si="27"/>
        <v>291878.28559609916</v>
      </c>
      <c r="D405" s="10">
        <f t="shared" si="24"/>
        <v>3200.45220545974</v>
      </c>
      <c r="E405" s="10"/>
      <c r="F405" s="10">
        <f t="shared" si="25"/>
        <v>288677.8333906394</v>
      </c>
      <c r="G405" s="10">
        <f t="shared" si="26"/>
        <v>86.62779454025998</v>
      </c>
      <c r="I405" s="37"/>
    </row>
    <row r="406" spans="1:13" ht="12.75">
      <c r="A406" s="44">
        <v>392</v>
      </c>
      <c r="B406" s="46"/>
      <c r="C406" s="10">
        <f t="shared" si="27"/>
        <v>288677.8333906394</v>
      </c>
      <c r="D406" s="10">
        <f t="shared" si="24"/>
        <v>3201.4020812462322</v>
      </c>
      <c r="E406" s="10"/>
      <c r="F406" s="10">
        <f t="shared" si="25"/>
        <v>285476.43130939314</v>
      </c>
      <c r="G406" s="10">
        <f t="shared" si="26"/>
        <v>85.67791875376781</v>
      </c>
      <c r="H406" s="10"/>
      <c r="I406" s="37"/>
      <c r="J406" s="10"/>
      <c r="K406" s="10"/>
      <c r="L406" s="10">
        <f>K406-K394</f>
        <v>0</v>
      </c>
      <c r="M406" s="54" t="e">
        <f>L406/K394</f>
        <v>#DIV/0!</v>
      </c>
    </row>
    <row r="407" spans="1:9" ht="12.75">
      <c r="A407" s="44">
        <v>393</v>
      </c>
      <c r="B407" s="46"/>
      <c r="C407" s="10">
        <f t="shared" si="27"/>
        <v>285476.43130939314</v>
      </c>
      <c r="D407" s="10">
        <f t="shared" si="24"/>
        <v>3202.3522389503873</v>
      </c>
      <c r="E407" s="10"/>
      <c r="F407" s="10">
        <f t="shared" si="25"/>
        <v>282274.07907044276</v>
      </c>
      <c r="G407" s="10">
        <f t="shared" si="26"/>
        <v>84.72776104961274</v>
      </c>
      <c r="I407" s="37"/>
    </row>
    <row r="408" spans="1:9" ht="12.75">
      <c r="A408" s="44">
        <v>394</v>
      </c>
      <c r="B408" s="46"/>
      <c r="C408" s="10">
        <f t="shared" si="27"/>
        <v>282274.07907044276</v>
      </c>
      <c r="D408" s="10">
        <f t="shared" si="24"/>
        <v>3203.3026786558785</v>
      </c>
      <c r="E408" s="10"/>
      <c r="F408" s="10">
        <f t="shared" si="25"/>
        <v>279070.7763917869</v>
      </c>
      <c r="G408" s="10">
        <f t="shared" si="26"/>
        <v>83.77732134412125</v>
      </c>
      <c r="I408" s="37"/>
    </row>
    <row r="409" spans="1:9" ht="12.75">
      <c r="A409" s="44">
        <v>395</v>
      </c>
      <c r="B409" s="46"/>
      <c r="C409" s="10">
        <f t="shared" si="27"/>
        <v>279070.7763917869</v>
      </c>
      <c r="D409" s="10">
        <f t="shared" si="24"/>
        <v>3204.2534004464023</v>
      </c>
      <c r="E409" s="10"/>
      <c r="F409" s="10">
        <f t="shared" si="25"/>
        <v>275866.5229913405</v>
      </c>
      <c r="G409" s="10">
        <f t="shared" si="26"/>
        <v>82.82659955359756</v>
      </c>
      <c r="I409" s="37"/>
    </row>
    <row r="410" spans="1:9" ht="12.75">
      <c r="A410" s="44">
        <v>396</v>
      </c>
      <c r="B410" s="46"/>
      <c r="C410" s="10">
        <f t="shared" si="27"/>
        <v>275866.5229913405</v>
      </c>
      <c r="D410" s="10">
        <f t="shared" si="24"/>
        <v>3205.2044044056793</v>
      </c>
      <c r="E410" s="10">
        <f>SUM(D399:D410)</f>
        <v>38399.74862725927</v>
      </c>
      <c r="F410" s="10">
        <f t="shared" si="25"/>
        <v>272661.3185869348</v>
      </c>
      <c r="G410" s="10">
        <f t="shared" si="26"/>
        <v>81.87559559432086</v>
      </c>
      <c r="H410" s="10">
        <f>SUM(G399:G410)</f>
        <v>1045.2113727407357</v>
      </c>
      <c r="I410" s="37"/>
    </row>
    <row r="411" spans="1:9" ht="12.75">
      <c r="A411" s="44">
        <v>397</v>
      </c>
      <c r="B411" s="46"/>
      <c r="C411" s="10">
        <f t="shared" si="27"/>
        <v>272661.3185869348</v>
      </c>
      <c r="D411" s="10">
        <f t="shared" si="24"/>
        <v>3206.1556906174555</v>
      </c>
      <c r="E411" s="10"/>
      <c r="F411" s="10">
        <f t="shared" si="25"/>
        <v>269455.1628963174</v>
      </c>
      <c r="G411" s="10">
        <f t="shared" si="26"/>
        <v>80.92430938254451</v>
      </c>
      <c r="I411" s="37"/>
    </row>
    <row r="412" spans="1:9" ht="12.75">
      <c r="A412" s="44">
        <v>398</v>
      </c>
      <c r="B412" s="46"/>
      <c r="C412" s="10">
        <f t="shared" si="27"/>
        <v>269455.1628963174</v>
      </c>
      <c r="D412" s="10">
        <f t="shared" si="24"/>
        <v>3207.1072591655006</v>
      </c>
      <c r="E412" s="10"/>
      <c r="F412" s="10">
        <f t="shared" si="25"/>
        <v>266248.0556371519</v>
      </c>
      <c r="G412" s="10">
        <f t="shared" si="26"/>
        <v>79.97274083449912</v>
      </c>
      <c r="I412" s="37"/>
    </row>
    <row r="413" spans="1:9" ht="12.75">
      <c r="A413" s="44">
        <v>399</v>
      </c>
      <c r="B413" s="46"/>
      <c r="C413" s="10">
        <f t="shared" si="27"/>
        <v>266248.0556371519</v>
      </c>
      <c r="D413" s="10">
        <f t="shared" si="24"/>
        <v>3208.059110133613</v>
      </c>
      <c r="E413" s="10"/>
      <c r="F413" s="10">
        <f t="shared" si="25"/>
        <v>263039.99652701826</v>
      </c>
      <c r="G413" s="10">
        <f t="shared" si="26"/>
        <v>79.02088986638672</v>
      </c>
      <c r="I413" s="37"/>
    </row>
    <row r="414" spans="1:9" ht="12.75">
      <c r="A414" s="44">
        <v>400</v>
      </c>
      <c r="B414" s="46"/>
      <c r="C414" s="10">
        <f t="shared" si="27"/>
        <v>263039.99652701826</v>
      </c>
      <c r="D414" s="10">
        <f t="shared" si="24"/>
        <v>3209.0112436056115</v>
      </c>
      <c r="E414" s="10"/>
      <c r="F414" s="10">
        <f t="shared" si="25"/>
        <v>259830.98528341265</v>
      </c>
      <c r="G414" s="10">
        <f t="shared" si="26"/>
        <v>78.06875639438846</v>
      </c>
      <c r="I414" s="37"/>
    </row>
    <row r="415" spans="1:9" ht="12.75">
      <c r="A415" s="44">
        <v>401</v>
      </c>
      <c r="B415" s="46"/>
      <c r="C415" s="10">
        <f t="shared" si="27"/>
        <v>259830.98528341265</v>
      </c>
      <c r="D415" s="10">
        <f t="shared" si="24"/>
        <v>3209.9636596653427</v>
      </c>
      <c r="E415" s="10"/>
      <c r="F415" s="10">
        <f t="shared" si="25"/>
        <v>256621.0216237473</v>
      </c>
      <c r="G415" s="10">
        <f t="shared" si="26"/>
        <v>77.11634033465721</v>
      </c>
      <c r="I415" s="37"/>
    </row>
    <row r="416" spans="1:9" ht="12.75">
      <c r="A416" s="44">
        <v>402</v>
      </c>
      <c r="B416" s="46"/>
      <c r="C416" s="10">
        <f t="shared" si="27"/>
        <v>256621.0216237473</v>
      </c>
      <c r="D416" s="10">
        <f t="shared" si="24"/>
        <v>3210.916358396675</v>
      </c>
      <c r="E416" s="10"/>
      <c r="F416" s="10">
        <f t="shared" si="25"/>
        <v>253410.10526535063</v>
      </c>
      <c r="G416" s="10">
        <f t="shared" si="26"/>
        <v>76.16364160332462</v>
      </c>
      <c r="I416" s="37"/>
    </row>
    <row r="417" spans="1:9" ht="12.75">
      <c r="A417" s="44">
        <v>403</v>
      </c>
      <c r="B417" s="46"/>
      <c r="C417" s="10">
        <f t="shared" si="27"/>
        <v>253410.10526535063</v>
      </c>
      <c r="D417" s="10">
        <f t="shared" si="24"/>
        <v>3211.8693398835067</v>
      </c>
      <c r="E417" s="10"/>
      <c r="F417" s="10">
        <f t="shared" si="25"/>
        <v>250198.23592546713</v>
      </c>
      <c r="G417" s="10">
        <f t="shared" si="26"/>
        <v>75.21066011649349</v>
      </c>
      <c r="I417" s="37"/>
    </row>
    <row r="418" spans="1:13" ht="12.75">
      <c r="A418" s="44">
        <v>404</v>
      </c>
      <c r="B418" s="46"/>
      <c r="C418" s="10">
        <f t="shared" si="27"/>
        <v>250198.23592546713</v>
      </c>
      <c r="D418" s="10">
        <f t="shared" si="24"/>
        <v>3212.822604209756</v>
      </c>
      <c r="E418" s="10"/>
      <c r="F418" s="10">
        <f t="shared" si="25"/>
        <v>246985.41332125737</v>
      </c>
      <c r="G418" s="10">
        <f t="shared" si="26"/>
        <v>74.25739579024415</v>
      </c>
      <c r="H418" s="10"/>
      <c r="I418" s="37"/>
      <c r="J418" s="10"/>
      <c r="K418" s="10"/>
      <c r="L418" s="10">
        <f>K418-K406</f>
        <v>0</v>
      </c>
      <c r="M418" s="54" t="e">
        <f>L418/K406</f>
        <v>#DIV/0!</v>
      </c>
    </row>
    <row r="419" spans="1:9" ht="12.75">
      <c r="A419" s="44">
        <v>405</v>
      </c>
      <c r="B419" s="46"/>
      <c r="C419" s="10">
        <f t="shared" si="27"/>
        <v>246985.41332125737</v>
      </c>
      <c r="D419" s="10">
        <f t="shared" si="24"/>
        <v>3213.776151459369</v>
      </c>
      <c r="E419" s="10"/>
      <c r="F419" s="10">
        <f t="shared" si="25"/>
        <v>243771.637169798</v>
      </c>
      <c r="G419" s="10">
        <f t="shared" si="26"/>
        <v>73.30384854063098</v>
      </c>
      <c r="I419" s="37"/>
    </row>
    <row r="420" spans="1:9" ht="12.75">
      <c r="A420" s="44">
        <v>406</v>
      </c>
      <c r="B420" s="46"/>
      <c r="C420" s="10">
        <f t="shared" si="27"/>
        <v>243771.637169798</v>
      </c>
      <c r="D420" s="10">
        <f t="shared" si="24"/>
        <v>3214.729981716314</v>
      </c>
      <c r="E420" s="10"/>
      <c r="F420" s="10">
        <f t="shared" si="25"/>
        <v>240556.90718808168</v>
      </c>
      <c r="G420" s="10">
        <f t="shared" si="26"/>
        <v>72.35001828368596</v>
      </c>
      <c r="I420" s="37"/>
    </row>
    <row r="421" spans="1:9" ht="12.75">
      <c r="A421" s="44">
        <v>407</v>
      </c>
      <c r="B421" s="46"/>
      <c r="C421" s="10">
        <f t="shared" si="27"/>
        <v>240556.90718808168</v>
      </c>
      <c r="D421" s="10">
        <f t="shared" si="24"/>
        <v>3215.6840950645883</v>
      </c>
      <c r="E421" s="10"/>
      <c r="F421" s="10">
        <f t="shared" si="25"/>
        <v>237341.2230930171</v>
      </c>
      <c r="G421" s="10">
        <f t="shared" si="26"/>
        <v>71.39590493541144</v>
      </c>
      <c r="I421" s="37"/>
    </row>
    <row r="422" spans="1:9" ht="12.75">
      <c r="A422" s="44">
        <v>408</v>
      </c>
      <c r="B422" s="46"/>
      <c r="C422" s="10">
        <f t="shared" si="27"/>
        <v>237341.2230930171</v>
      </c>
      <c r="D422" s="10">
        <f t="shared" si="24"/>
        <v>3216.6384915882095</v>
      </c>
      <c r="E422" s="10">
        <f>SUM(D411:D422)</f>
        <v>38536.73398550594</v>
      </c>
      <c r="F422" s="10">
        <f t="shared" si="25"/>
        <v>234124.58460142888</v>
      </c>
      <c r="G422" s="10">
        <f t="shared" si="26"/>
        <v>70.4415084117904</v>
      </c>
      <c r="H422" s="10">
        <f>SUM(G411:G422)</f>
        <v>908.2260144940569</v>
      </c>
      <c r="I422" s="37"/>
    </row>
    <row r="423" spans="1:9" ht="12.75">
      <c r="A423" s="44">
        <v>409</v>
      </c>
      <c r="B423" s="46"/>
      <c r="C423" s="10">
        <f t="shared" si="27"/>
        <v>234124.58460142888</v>
      </c>
      <c r="D423" s="10">
        <f t="shared" si="24"/>
        <v>3217.5931713712243</v>
      </c>
      <c r="E423" s="10"/>
      <c r="F423" s="10">
        <f t="shared" si="25"/>
        <v>230906.99143005765</v>
      </c>
      <c r="G423" s="10">
        <f t="shared" si="26"/>
        <v>69.48682862877558</v>
      </c>
      <c r="I423" s="37"/>
    </row>
    <row r="424" spans="1:9" ht="12.75">
      <c r="A424" s="44">
        <v>410</v>
      </c>
      <c r="B424" s="46"/>
      <c r="C424" s="10">
        <f t="shared" si="27"/>
        <v>230906.99143005765</v>
      </c>
      <c r="D424" s="10">
        <f t="shared" si="24"/>
        <v>3218.548134497702</v>
      </c>
      <c r="E424" s="10"/>
      <c r="F424" s="10">
        <f t="shared" si="25"/>
        <v>227688.44329555993</v>
      </c>
      <c r="G424" s="10">
        <f t="shared" si="26"/>
        <v>68.53186550229798</v>
      </c>
      <c r="I424" s="37"/>
    </row>
    <row r="425" spans="1:9" ht="12.75">
      <c r="A425" s="44">
        <v>411</v>
      </c>
      <c r="B425" s="46"/>
      <c r="C425" s="10">
        <f t="shared" si="27"/>
        <v>227688.44329555993</v>
      </c>
      <c r="D425" s="10">
        <f t="shared" si="24"/>
        <v>3219.503381051736</v>
      </c>
      <c r="E425" s="10"/>
      <c r="F425" s="10">
        <f t="shared" si="25"/>
        <v>224468.9399145082</v>
      </c>
      <c r="G425" s="10">
        <f t="shared" si="26"/>
        <v>67.57661894826366</v>
      </c>
      <c r="I425" s="37"/>
    </row>
    <row r="426" spans="1:9" ht="12.75">
      <c r="A426" s="44">
        <v>412</v>
      </c>
      <c r="B426" s="46"/>
      <c r="C426" s="10">
        <f t="shared" si="27"/>
        <v>224468.9399145082</v>
      </c>
      <c r="D426" s="10">
        <f t="shared" si="24"/>
        <v>3220.4589111174478</v>
      </c>
      <c r="E426" s="10"/>
      <c r="F426" s="10">
        <f t="shared" si="25"/>
        <v>221248.48100339074</v>
      </c>
      <c r="G426" s="10">
        <f t="shared" si="26"/>
        <v>66.62108888255223</v>
      </c>
      <c r="I426" s="37"/>
    </row>
    <row r="427" spans="1:9" ht="12.75">
      <c r="A427" s="44">
        <v>413</v>
      </c>
      <c r="B427" s="46"/>
      <c r="C427" s="10">
        <f t="shared" si="27"/>
        <v>221248.48100339074</v>
      </c>
      <c r="D427" s="10">
        <f t="shared" si="24"/>
        <v>3221.4147247789815</v>
      </c>
      <c r="E427" s="10"/>
      <c r="F427" s="10">
        <f t="shared" si="25"/>
        <v>218027.06627861175</v>
      </c>
      <c r="G427" s="10">
        <f t="shared" si="26"/>
        <v>65.66527522101863</v>
      </c>
      <c r="I427" s="37"/>
    </row>
    <row r="428" spans="1:9" ht="12.75">
      <c r="A428" s="44">
        <v>414</v>
      </c>
      <c r="B428" s="46"/>
      <c r="C428" s="10">
        <f t="shared" si="27"/>
        <v>218027.06627861175</v>
      </c>
      <c r="D428" s="10">
        <f t="shared" si="24"/>
        <v>3222.3708221205043</v>
      </c>
      <c r="E428" s="10"/>
      <c r="F428" s="10">
        <f t="shared" si="25"/>
        <v>214804.69545649123</v>
      </c>
      <c r="G428" s="10">
        <f t="shared" si="26"/>
        <v>64.7091778794956</v>
      </c>
      <c r="I428" s="37"/>
    </row>
    <row r="429" spans="1:9" ht="12.75">
      <c r="A429" s="44">
        <v>415</v>
      </c>
      <c r="B429" s="46"/>
      <c r="C429" s="10">
        <f t="shared" si="27"/>
        <v>214804.69545649123</v>
      </c>
      <c r="D429" s="10">
        <f t="shared" si="24"/>
        <v>3223.3272032262144</v>
      </c>
      <c r="E429" s="10"/>
      <c r="F429" s="10">
        <f t="shared" si="25"/>
        <v>211581.368253265</v>
      </c>
      <c r="G429" s="10">
        <f t="shared" si="26"/>
        <v>63.75279677378542</v>
      </c>
      <c r="I429" s="37"/>
    </row>
    <row r="430" spans="1:13" ht="12.75">
      <c r="A430" s="44">
        <v>416</v>
      </c>
      <c r="B430" s="46"/>
      <c r="C430" s="10">
        <f t="shared" si="27"/>
        <v>211581.368253265</v>
      </c>
      <c r="D430" s="10">
        <f t="shared" si="24"/>
        <v>3224.2838681803296</v>
      </c>
      <c r="E430" s="10"/>
      <c r="F430" s="10">
        <f t="shared" si="25"/>
        <v>208357.0843850847</v>
      </c>
      <c r="G430" s="10">
        <f t="shared" si="26"/>
        <v>62.79613181967026</v>
      </c>
      <c r="H430" s="10"/>
      <c r="I430" s="37"/>
      <c r="J430" s="10"/>
      <c r="K430" s="10"/>
      <c r="L430" s="10">
        <f>K430-K418</f>
        <v>0</v>
      </c>
      <c r="M430" s="54" t="e">
        <f>L430/K418</f>
        <v>#DIV/0!</v>
      </c>
    </row>
    <row r="431" spans="1:9" ht="12.75">
      <c r="A431" s="44">
        <v>417</v>
      </c>
      <c r="B431" s="46"/>
      <c r="C431" s="10">
        <f t="shared" si="27"/>
        <v>208357.0843850847</v>
      </c>
      <c r="D431" s="10">
        <f t="shared" si="24"/>
        <v>3225.2408170670956</v>
      </c>
      <c r="E431" s="10"/>
      <c r="F431" s="10">
        <f t="shared" si="25"/>
        <v>205131.8435680176</v>
      </c>
      <c r="G431" s="10">
        <f t="shared" si="26"/>
        <v>61.83918293290421</v>
      </c>
      <c r="I431" s="37"/>
    </row>
    <row r="432" spans="1:9" ht="12.75">
      <c r="A432" s="44">
        <v>418</v>
      </c>
      <c r="B432" s="46"/>
      <c r="C432" s="10">
        <f t="shared" si="27"/>
        <v>205131.8435680176</v>
      </c>
      <c r="D432" s="10">
        <f t="shared" si="24"/>
        <v>3226.1980499707806</v>
      </c>
      <c r="E432" s="10"/>
      <c r="F432" s="10">
        <f t="shared" si="25"/>
        <v>201905.6455180468</v>
      </c>
      <c r="G432" s="10">
        <f t="shared" si="26"/>
        <v>60.88195002921951</v>
      </c>
      <c r="I432" s="37"/>
    </row>
    <row r="433" spans="1:9" ht="12.75">
      <c r="A433" s="44">
        <v>419</v>
      </c>
      <c r="B433" s="46"/>
      <c r="C433" s="10">
        <f t="shared" si="27"/>
        <v>201905.6455180468</v>
      </c>
      <c r="D433" s="10">
        <f t="shared" si="24"/>
        <v>3227.155566975679</v>
      </c>
      <c r="E433" s="10"/>
      <c r="F433" s="10">
        <f t="shared" si="25"/>
        <v>198678.48995107113</v>
      </c>
      <c r="G433" s="10">
        <f t="shared" si="26"/>
        <v>59.924433024321054</v>
      </c>
      <c r="I433" s="37"/>
    </row>
    <row r="434" spans="1:9" ht="12.75">
      <c r="A434" s="44">
        <v>420</v>
      </c>
      <c r="B434" s="46"/>
      <c r="C434" s="10">
        <f t="shared" si="27"/>
        <v>198678.48995107113</v>
      </c>
      <c r="D434" s="10">
        <f t="shared" si="24"/>
        <v>3228.1133681661117</v>
      </c>
      <c r="E434" s="10">
        <f>SUM(D423:D434)</f>
        <v>38674.20801852381</v>
      </c>
      <c r="F434" s="10">
        <f t="shared" si="25"/>
        <v>195450.376582905</v>
      </c>
      <c r="G434" s="10">
        <f t="shared" si="26"/>
        <v>58.9666318338883</v>
      </c>
      <c r="H434" s="10">
        <f>SUM(G423:G434)</f>
        <v>770.7519814761924</v>
      </c>
      <c r="I434" s="37"/>
    </row>
    <row r="435" spans="1:9" ht="12.75">
      <c r="A435" s="44">
        <v>421</v>
      </c>
      <c r="B435" s="46"/>
      <c r="C435" s="10">
        <f t="shared" si="27"/>
        <v>195450.376582905</v>
      </c>
      <c r="D435" s="10">
        <f t="shared" si="24"/>
        <v>3229.071453626423</v>
      </c>
      <c r="E435" s="10"/>
      <c r="F435" s="10">
        <f t="shared" si="25"/>
        <v>192221.3051292786</v>
      </c>
      <c r="G435" s="10">
        <f t="shared" si="26"/>
        <v>58.00854637357679</v>
      </c>
      <c r="I435" s="37"/>
    </row>
    <row r="436" spans="1:9" ht="12.75">
      <c r="A436" s="44">
        <v>422</v>
      </c>
      <c r="B436" s="46"/>
      <c r="C436" s="10">
        <f t="shared" si="27"/>
        <v>192221.3051292786</v>
      </c>
      <c r="D436" s="10">
        <f t="shared" si="24"/>
        <v>3230.029823440982</v>
      </c>
      <c r="E436" s="10"/>
      <c r="F436" s="10">
        <f t="shared" si="25"/>
        <v>188991.27530583763</v>
      </c>
      <c r="G436" s="10">
        <f t="shared" si="26"/>
        <v>57.05017655901797</v>
      </c>
      <c r="I436" s="37"/>
    </row>
    <row r="437" spans="1:9" ht="12.75">
      <c r="A437" s="44">
        <v>423</v>
      </c>
      <c r="B437" s="46"/>
      <c r="C437" s="10">
        <f t="shared" si="27"/>
        <v>188991.27530583763</v>
      </c>
      <c r="D437" s="10">
        <f t="shared" si="24"/>
        <v>3230.988477694184</v>
      </c>
      <c r="E437" s="10"/>
      <c r="F437" s="10">
        <f t="shared" si="25"/>
        <v>185760.28682814343</v>
      </c>
      <c r="G437" s="10">
        <f t="shared" si="26"/>
        <v>56.09152230581603</v>
      </c>
      <c r="I437" s="37"/>
    </row>
    <row r="438" spans="1:9" ht="12.75">
      <c r="A438" s="44">
        <v>424</v>
      </c>
      <c r="B438" s="46"/>
      <c r="C438" s="10">
        <f t="shared" si="27"/>
        <v>185760.28682814343</v>
      </c>
      <c r="D438" s="10">
        <f t="shared" si="24"/>
        <v>3231.9474164704475</v>
      </c>
      <c r="E438" s="10"/>
      <c r="F438" s="10">
        <f t="shared" si="25"/>
        <v>182528.339411673</v>
      </c>
      <c r="G438" s="10">
        <f t="shared" si="26"/>
        <v>55.132583529552505</v>
      </c>
      <c r="I438" s="37"/>
    </row>
    <row r="439" spans="1:9" ht="12.75">
      <c r="A439" s="44">
        <v>425</v>
      </c>
      <c r="B439" s="46"/>
      <c r="C439" s="10">
        <f t="shared" si="27"/>
        <v>182528.339411673</v>
      </c>
      <c r="D439" s="10">
        <f t="shared" si="24"/>
        <v>3232.9066398542186</v>
      </c>
      <c r="E439" s="10"/>
      <c r="F439" s="10">
        <f t="shared" si="25"/>
        <v>179295.43277181877</v>
      </c>
      <c r="G439" s="10">
        <f t="shared" si="26"/>
        <v>54.17336014578144</v>
      </c>
      <c r="I439" s="37"/>
    </row>
    <row r="440" spans="1:9" ht="12.75">
      <c r="A440" s="44">
        <v>426</v>
      </c>
      <c r="B440" s="46"/>
      <c r="C440" s="10">
        <f t="shared" si="27"/>
        <v>179295.43277181877</v>
      </c>
      <c r="D440" s="10">
        <f t="shared" si="24"/>
        <v>3233.866147929968</v>
      </c>
      <c r="E440" s="10"/>
      <c r="F440" s="10">
        <f t="shared" si="25"/>
        <v>176061.5666238888</v>
      </c>
      <c r="G440" s="10">
        <f t="shared" si="26"/>
        <v>53.213852070031926</v>
      </c>
      <c r="I440" s="37"/>
    </row>
    <row r="441" spans="1:9" ht="12.75">
      <c r="A441" s="44">
        <v>427</v>
      </c>
      <c r="B441" s="46"/>
      <c r="C441" s="10">
        <f t="shared" si="27"/>
        <v>176061.5666238888</v>
      </c>
      <c r="D441" s="10">
        <f t="shared" si="24"/>
        <v>3234.825940782189</v>
      </c>
      <c r="E441" s="10"/>
      <c r="F441" s="10">
        <f t="shared" si="25"/>
        <v>172826.74068310662</v>
      </c>
      <c r="G441" s="10">
        <f t="shared" si="26"/>
        <v>52.25405921781121</v>
      </c>
      <c r="I441" s="37"/>
    </row>
    <row r="442" spans="1:13" ht="12.75">
      <c r="A442" s="44">
        <v>428</v>
      </c>
      <c r="B442" s="46"/>
      <c r="C442" s="10">
        <f t="shared" si="27"/>
        <v>172826.74068310662</v>
      </c>
      <c r="D442" s="10">
        <f t="shared" si="24"/>
        <v>3235.786018495401</v>
      </c>
      <c r="E442" s="10"/>
      <c r="F442" s="10">
        <f t="shared" si="25"/>
        <v>169590.95466461123</v>
      </c>
      <c r="G442" s="10">
        <f t="shared" si="26"/>
        <v>51.293981504599046</v>
      </c>
      <c r="H442" s="10"/>
      <c r="I442" s="37"/>
      <c r="J442" s="10"/>
      <c r="K442" s="10"/>
      <c r="L442" s="10">
        <f>K442-K430</f>
        <v>0</v>
      </c>
      <c r="M442" s="54" t="e">
        <f>L442/K430</f>
        <v>#DIV/0!</v>
      </c>
    </row>
    <row r="443" spans="1:9" ht="12.75">
      <c r="A443" s="44">
        <v>429</v>
      </c>
      <c r="B443" s="46"/>
      <c r="C443" s="10">
        <f t="shared" si="27"/>
        <v>169590.95466461123</v>
      </c>
      <c r="D443" s="10">
        <f t="shared" si="24"/>
        <v>3236.746381154151</v>
      </c>
      <c r="E443" s="10"/>
      <c r="F443" s="10">
        <f t="shared" si="25"/>
        <v>166354.2082834571</v>
      </c>
      <c r="G443" s="10">
        <f t="shared" si="26"/>
        <v>50.33361884584872</v>
      </c>
      <c r="I443" s="37"/>
    </row>
    <row r="444" spans="1:9" ht="12.75">
      <c r="A444" s="44">
        <v>430</v>
      </c>
      <c r="B444" s="46"/>
      <c r="C444" s="10">
        <f t="shared" si="27"/>
        <v>166354.2082834571</v>
      </c>
      <c r="D444" s="10">
        <f t="shared" si="24"/>
        <v>3237.707028843008</v>
      </c>
      <c r="E444" s="10"/>
      <c r="F444" s="10">
        <f t="shared" si="25"/>
        <v>163116.5012546141</v>
      </c>
      <c r="G444" s="10">
        <f t="shared" si="26"/>
        <v>49.37297115699181</v>
      </c>
      <c r="I444" s="37"/>
    </row>
    <row r="445" spans="1:9" ht="12.75">
      <c r="A445" s="44">
        <v>431</v>
      </c>
      <c r="B445" s="46"/>
      <c r="C445" s="10">
        <f t="shared" si="27"/>
        <v>163116.5012546141</v>
      </c>
      <c r="D445" s="10">
        <f t="shared" si="24"/>
        <v>3238.667961646568</v>
      </c>
      <c r="E445" s="10"/>
      <c r="F445" s="10">
        <f t="shared" si="25"/>
        <v>159877.83329296752</v>
      </c>
      <c r="G445" s="10">
        <f t="shared" si="26"/>
        <v>48.41203835343199</v>
      </c>
      <c r="I445" s="37"/>
    </row>
    <row r="446" spans="1:9" ht="12.75">
      <c r="A446" s="44">
        <v>432</v>
      </c>
      <c r="B446" s="46"/>
      <c r="C446" s="10">
        <f t="shared" si="27"/>
        <v>159877.83329296752</v>
      </c>
      <c r="D446" s="10">
        <f t="shared" si="24"/>
        <v>3239.6291796494506</v>
      </c>
      <c r="E446" s="10">
        <f>SUM(D435:D446)</f>
        <v>38812.172469586985</v>
      </c>
      <c r="F446" s="10">
        <f t="shared" si="25"/>
        <v>156638.20411331806</v>
      </c>
      <c r="G446" s="10">
        <f t="shared" si="26"/>
        <v>47.45082035054915</v>
      </c>
      <c r="H446" s="10">
        <f>SUM(G435:G446)</f>
        <v>632.7875304130087</v>
      </c>
      <c r="I446" s="37"/>
    </row>
    <row r="447" spans="1:9" ht="12.75">
      <c r="A447" s="44">
        <v>433</v>
      </c>
      <c r="B447" s="46"/>
      <c r="C447" s="10">
        <f t="shared" si="27"/>
        <v>156638.20411331806</v>
      </c>
      <c r="D447" s="10">
        <f t="shared" si="24"/>
        <v>3240.590682936303</v>
      </c>
      <c r="E447" s="10"/>
      <c r="F447" s="10">
        <f t="shared" si="25"/>
        <v>153397.61343038175</v>
      </c>
      <c r="G447" s="10">
        <f t="shared" si="26"/>
        <v>46.48931706369708</v>
      </c>
      <c r="I447" s="37"/>
    </row>
    <row r="448" spans="1:9" ht="12.75">
      <c r="A448" s="44">
        <v>434</v>
      </c>
      <c r="B448" s="46"/>
      <c r="C448" s="10">
        <f t="shared" si="27"/>
        <v>153397.61343038175</v>
      </c>
      <c r="D448" s="10">
        <f t="shared" si="24"/>
        <v>3241.5524715917936</v>
      </c>
      <c r="E448" s="10"/>
      <c r="F448" s="10">
        <f t="shared" si="25"/>
        <v>150156.06095878995</v>
      </c>
      <c r="G448" s="10">
        <f t="shared" si="26"/>
        <v>45.52752840820653</v>
      </c>
      <c r="I448" s="37"/>
    </row>
    <row r="449" spans="1:9" ht="12.75">
      <c r="A449" s="44">
        <v>435</v>
      </c>
      <c r="B449" s="46"/>
      <c r="C449" s="10">
        <f t="shared" si="27"/>
        <v>150156.06095878995</v>
      </c>
      <c r="D449" s="10">
        <f t="shared" si="24"/>
        <v>3242.5145457006197</v>
      </c>
      <c r="E449" s="10"/>
      <c r="F449" s="10">
        <f t="shared" si="25"/>
        <v>146913.54641308932</v>
      </c>
      <c r="G449" s="10">
        <f t="shared" si="26"/>
        <v>44.565454299380356</v>
      </c>
      <c r="I449" s="37"/>
    </row>
    <row r="450" spans="1:9" ht="12.75">
      <c r="A450" s="44">
        <v>436</v>
      </c>
      <c r="B450" s="46"/>
      <c r="C450" s="10">
        <f t="shared" si="27"/>
        <v>146913.54641308932</v>
      </c>
      <c r="D450" s="10">
        <f t="shared" si="24"/>
        <v>3243.476905347501</v>
      </c>
      <c r="E450" s="10"/>
      <c r="F450" s="10">
        <f t="shared" si="25"/>
        <v>143670.06950774183</v>
      </c>
      <c r="G450" s="10">
        <f t="shared" si="26"/>
        <v>43.60309465249873</v>
      </c>
      <c r="I450" s="37"/>
    </row>
    <row r="451" spans="1:9" ht="12.75">
      <c r="A451" s="44">
        <v>437</v>
      </c>
      <c r="B451" s="46"/>
      <c r="C451" s="10">
        <f t="shared" si="27"/>
        <v>143670.06950774183</v>
      </c>
      <c r="D451" s="10">
        <f t="shared" si="24"/>
        <v>3244.4395506171854</v>
      </c>
      <c r="E451" s="10"/>
      <c r="F451" s="10">
        <f t="shared" si="25"/>
        <v>140425.62995712465</v>
      </c>
      <c r="G451" s="10">
        <f t="shared" si="26"/>
        <v>42.64044938281455</v>
      </c>
      <c r="I451" s="37"/>
    </row>
    <row r="452" spans="1:9" ht="12.75">
      <c r="A452" s="44">
        <v>438</v>
      </c>
      <c r="B452" s="46"/>
      <c r="C452" s="10">
        <f t="shared" si="27"/>
        <v>140425.62995712465</v>
      </c>
      <c r="D452" s="10">
        <f t="shared" si="24"/>
        <v>3245.4024815944417</v>
      </c>
      <c r="E452" s="10"/>
      <c r="F452" s="10">
        <f t="shared" si="25"/>
        <v>137180.2274755302</v>
      </c>
      <c r="G452" s="10">
        <f t="shared" si="26"/>
        <v>41.677518405558025</v>
      </c>
      <c r="I452" s="37"/>
    </row>
    <row r="453" spans="1:9" ht="12.75">
      <c r="A453" s="44">
        <v>439</v>
      </c>
      <c r="B453" s="46"/>
      <c r="C453" s="10">
        <f t="shared" si="27"/>
        <v>137180.2274755302</v>
      </c>
      <c r="D453" s="10">
        <f t="shared" si="24"/>
        <v>3246.3656983640685</v>
      </c>
      <c r="E453" s="10"/>
      <c r="F453" s="10">
        <f t="shared" si="25"/>
        <v>133933.86177716614</v>
      </c>
      <c r="G453" s="10">
        <f t="shared" si="26"/>
        <v>40.71430163593133</v>
      </c>
      <c r="I453" s="37"/>
    </row>
    <row r="454" spans="1:13" ht="12.75">
      <c r="A454" s="44">
        <v>440</v>
      </c>
      <c r="B454" s="46"/>
      <c r="C454" s="10">
        <f t="shared" si="27"/>
        <v>133933.86177716614</v>
      </c>
      <c r="D454" s="10">
        <f t="shared" si="24"/>
        <v>3247.3292010108858</v>
      </c>
      <c r="E454" s="10"/>
      <c r="F454" s="10">
        <f t="shared" si="25"/>
        <v>130686.53257615525</v>
      </c>
      <c r="G454" s="10">
        <f t="shared" si="26"/>
        <v>39.75079898911416</v>
      </c>
      <c r="H454" s="10"/>
      <c r="I454" s="37"/>
      <c r="J454" s="10"/>
      <c r="K454" s="10"/>
      <c r="L454" s="10">
        <f>K454-K442</f>
        <v>0</v>
      </c>
      <c r="M454" s="54" t="e">
        <f>L454/K442</f>
        <v>#DIV/0!</v>
      </c>
    </row>
    <row r="455" spans="1:9" ht="12.75">
      <c r="A455" s="44">
        <v>441</v>
      </c>
      <c r="B455" s="46"/>
      <c r="C455" s="10">
        <f t="shared" si="27"/>
        <v>130686.53257615525</v>
      </c>
      <c r="D455" s="10">
        <f t="shared" si="24"/>
        <v>3248.2929896197415</v>
      </c>
      <c r="E455" s="10"/>
      <c r="F455" s="10">
        <f t="shared" si="25"/>
        <v>127438.2395865355</v>
      </c>
      <c r="G455" s="10">
        <f t="shared" si="26"/>
        <v>38.78701038025859</v>
      </c>
      <c r="I455" s="37"/>
    </row>
    <row r="456" spans="1:9" ht="12.75">
      <c r="A456" s="44">
        <v>442</v>
      </c>
      <c r="B456" s="46"/>
      <c r="C456" s="10">
        <f t="shared" si="27"/>
        <v>127438.2395865355</v>
      </c>
      <c r="D456" s="10">
        <f t="shared" si="24"/>
        <v>3249.2570642755063</v>
      </c>
      <c r="E456" s="10"/>
      <c r="F456" s="10">
        <f t="shared" si="25"/>
        <v>124188.98252226</v>
      </c>
      <c r="G456" s="10">
        <f t="shared" si="26"/>
        <v>37.822935724493526</v>
      </c>
      <c r="I456" s="37"/>
    </row>
    <row r="457" spans="1:9" ht="12.75">
      <c r="A457" s="44">
        <v>443</v>
      </c>
      <c r="B457" s="46"/>
      <c r="C457" s="10">
        <f t="shared" si="27"/>
        <v>124188.98252226</v>
      </c>
      <c r="D457" s="10">
        <f t="shared" si="24"/>
        <v>3250.2214250630773</v>
      </c>
      <c r="E457" s="10"/>
      <c r="F457" s="10">
        <f t="shared" si="25"/>
        <v>120938.76109719693</v>
      </c>
      <c r="G457" s="10">
        <f t="shared" si="26"/>
        <v>36.858574936922665</v>
      </c>
      <c r="I457" s="37"/>
    </row>
    <row r="458" spans="1:9" ht="12.75">
      <c r="A458" s="44">
        <v>444</v>
      </c>
      <c r="B458" s="46"/>
      <c r="C458" s="10">
        <f t="shared" si="27"/>
        <v>120938.76109719693</v>
      </c>
      <c r="D458" s="10">
        <f t="shared" si="24"/>
        <v>3251.1860720673776</v>
      </c>
      <c r="E458" s="10">
        <f>SUM(D447:D458)</f>
        <v>38950.6290881885</v>
      </c>
      <c r="F458" s="10">
        <f t="shared" si="25"/>
        <v>117687.57502512955</v>
      </c>
      <c r="G458" s="10">
        <f t="shared" si="26"/>
        <v>35.893927932622134</v>
      </c>
      <c r="H458" s="10">
        <f>SUM(G447:G458)</f>
        <v>494.3309118114977</v>
      </c>
      <c r="I458" s="37"/>
    </row>
    <row r="459" spans="1:9" ht="12.75">
      <c r="A459" s="44">
        <v>445</v>
      </c>
      <c r="B459" s="46"/>
      <c r="C459" s="10">
        <f t="shared" si="27"/>
        <v>117687.57502512955</v>
      </c>
      <c r="D459" s="10">
        <f t="shared" si="24"/>
        <v>3252.1510053733555</v>
      </c>
      <c r="E459" s="10"/>
      <c r="F459" s="10">
        <f t="shared" si="25"/>
        <v>114435.4240197562</v>
      </c>
      <c r="G459" s="10">
        <f t="shared" si="26"/>
        <v>34.92899462664434</v>
      </c>
      <c r="I459" s="37"/>
    </row>
    <row r="460" spans="1:9" ht="12.75">
      <c r="A460" s="44">
        <v>446</v>
      </c>
      <c r="B460" s="46"/>
      <c r="C460" s="10">
        <f t="shared" si="27"/>
        <v>114435.4240197562</v>
      </c>
      <c r="D460" s="10">
        <f t="shared" si="24"/>
        <v>3253.1162250659804</v>
      </c>
      <c r="E460" s="10"/>
      <c r="F460" s="10">
        <f t="shared" si="25"/>
        <v>111182.30779469022</v>
      </c>
      <c r="G460" s="10">
        <f t="shared" si="26"/>
        <v>33.96377493401931</v>
      </c>
      <c r="I460" s="37"/>
    </row>
    <row r="461" spans="1:9" ht="12.75">
      <c r="A461" s="44">
        <v>447</v>
      </c>
      <c r="B461" s="46"/>
      <c r="C461" s="10">
        <f t="shared" si="27"/>
        <v>111182.30779469022</v>
      </c>
      <c r="D461" s="10">
        <f t="shared" si="24"/>
        <v>3254.081731230255</v>
      </c>
      <c r="E461" s="10"/>
      <c r="F461" s="10">
        <f t="shared" si="25"/>
        <v>107928.22606345997</v>
      </c>
      <c r="G461" s="10">
        <f t="shared" si="26"/>
        <v>32.99826876974496</v>
      </c>
      <c r="I461" s="37"/>
    </row>
    <row r="462" spans="1:9" ht="12.75">
      <c r="A462" s="44">
        <v>448</v>
      </c>
      <c r="B462" s="46"/>
      <c r="C462" s="10">
        <f t="shared" si="27"/>
        <v>107928.22606345997</v>
      </c>
      <c r="D462" s="10">
        <f t="shared" si="24"/>
        <v>3255.047523951198</v>
      </c>
      <c r="E462" s="10"/>
      <c r="F462" s="10">
        <f t="shared" si="25"/>
        <v>104673.17853950876</v>
      </c>
      <c r="G462" s="10">
        <f t="shared" si="26"/>
        <v>32.032476048801826</v>
      </c>
      <c r="I462" s="37"/>
    </row>
    <row r="463" spans="1:9" ht="12.75">
      <c r="A463" s="44">
        <v>449</v>
      </c>
      <c r="B463" s="46"/>
      <c r="C463" s="10">
        <f t="shared" si="27"/>
        <v>104673.17853950876</v>
      </c>
      <c r="D463" s="10">
        <f aca="true" t="shared" si="28" ref="D463:D494">-PPMT($C$6/12,A463,$C$7,$C$5)</f>
        <v>3256.01360331386</v>
      </c>
      <c r="E463" s="10"/>
      <c r="F463" s="10">
        <f aca="true" t="shared" si="29" ref="F463:F494">C463-D463</f>
        <v>101417.16493619491</v>
      </c>
      <c r="G463" s="10">
        <f aca="true" t="shared" si="30" ref="G463:G494">-IPMT($C$6/12,A463,$C$7,$C$5)</f>
        <v>31.06639668613999</v>
      </c>
      <c r="I463" s="37"/>
    </row>
    <row r="464" spans="1:9" ht="12.75">
      <c r="A464" s="44">
        <v>450</v>
      </c>
      <c r="B464" s="46"/>
      <c r="C464" s="10">
        <f aca="true" t="shared" si="31" ref="C464:C494">F463</f>
        <v>101417.16493619491</v>
      </c>
      <c r="D464" s="10">
        <f t="shared" si="28"/>
        <v>3256.9799694033145</v>
      </c>
      <c r="E464" s="10"/>
      <c r="F464" s="10">
        <f t="shared" si="29"/>
        <v>98160.1849667916</v>
      </c>
      <c r="G464" s="10">
        <f t="shared" si="30"/>
        <v>30.100030596685478</v>
      </c>
      <c r="I464" s="37"/>
    </row>
    <row r="465" spans="1:9" ht="12.75">
      <c r="A465" s="44">
        <v>451</v>
      </c>
      <c r="B465" s="46"/>
      <c r="C465" s="10">
        <f t="shared" si="31"/>
        <v>98160.1849667916</v>
      </c>
      <c r="D465" s="10">
        <f t="shared" si="28"/>
        <v>3257.9466223046593</v>
      </c>
      <c r="E465" s="10"/>
      <c r="F465" s="10">
        <f t="shared" si="29"/>
        <v>94902.23834448693</v>
      </c>
      <c r="G465" s="10">
        <f t="shared" si="30"/>
        <v>29.13337769534069</v>
      </c>
      <c r="I465" s="37"/>
    </row>
    <row r="466" spans="1:13" ht="12.75">
      <c r="A466" s="44">
        <v>452</v>
      </c>
      <c r="B466" s="46"/>
      <c r="C466" s="10">
        <f t="shared" si="31"/>
        <v>94902.23834448693</v>
      </c>
      <c r="D466" s="10">
        <f t="shared" si="28"/>
        <v>3258.91356210302</v>
      </c>
      <c r="E466" s="10"/>
      <c r="F466" s="10">
        <f t="shared" si="29"/>
        <v>91643.32478238392</v>
      </c>
      <c r="G466" s="10">
        <f t="shared" si="30"/>
        <v>28.1664378969799</v>
      </c>
      <c r="H466" s="10"/>
      <c r="I466" s="37"/>
      <c r="J466" s="10"/>
      <c r="K466" s="10"/>
      <c r="L466" s="10">
        <f>K466-K454</f>
        <v>0</v>
      </c>
      <c r="M466" s="54" t="e">
        <f>L466/K454</f>
        <v>#DIV/0!</v>
      </c>
    </row>
    <row r="467" spans="1:9" ht="12.75">
      <c r="A467" s="44">
        <v>453</v>
      </c>
      <c r="B467" s="46"/>
      <c r="C467" s="10">
        <f t="shared" si="31"/>
        <v>91643.32478238392</v>
      </c>
      <c r="D467" s="10">
        <f t="shared" si="28"/>
        <v>3259.880788883546</v>
      </c>
      <c r="E467" s="10"/>
      <c r="F467" s="10">
        <f t="shared" si="29"/>
        <v>88383.44399350038</v>
      </c>
      <c r="G467" s="10">
        <f t="shared" si="30"/>
        <v>27.199211116454155</v>
      </c>
      <c r="I467" s="37"/>
    </row>
    <row r="468" spans="1:9" ht="12.75">
      <c r="A468" s="44">
        <v>454</v>
      </c>
      <c r="B468" s="46"/>
      <c r="C468" s="10">
        <f t="shared" si="31"/>
        <v>88383.44399350038</v>
      </c>
      <c r="D468" s="10">
        <f t="shared" si="28"/>
        <v>3260.8483027314096</v>
      </c>
      <c r="E468" s="10"/>
      <c r="F468" s="10">
        <f t="shared" si="29"/>
        <v>85122.59569076897</v>
      </c>
      <c r="G468" s="10">
        <f t="shared" si="30"/>
        <v>26.23169726859053</v>
      </c>
      <c r="I468" s="37"/>
    </row>
    <row r="469" spans="1:9" ht="12.75">
      <c r="A469" s="44">
        <v>455</v>
      </c>
      <c r="B469" s="46"/>
      <c r="C469" s="10">
        <f t="shared" si="31"/>
        <v>85122.59569076897</v>
      </c>
      <c r="D469" s="10">
        <f t="shared" si="28"/>
        <v>3261.8161037318127</v>
      </c>
      <c r="E469" s="10"/>
      <c r="F469" s="10">
        <f t="shared" si="29"/>
        <v>81860.77958703716</v>
      </c>
      <c r="G469" s="10">
        <f t="shared" si="30"/>
        <v>25.263896268187217</v>
      </c>
      <c r="I469" s="37"/>
    </row>
    <row r="470" spans="1:9" ht="12.75">
      <c r="A470" s="44">
        <v>456</v>
      </c>
      <c r="B470" s="46"/>
      <c r="C470" s="10">
        <f t="shared" si="31"/>
        <v>81860.77958703716</v>
      </c>
      <c r="D470" s="10">
        <f t="shared" si="28"/>
        <v>3262.7841919699804</v>
      </c>
      <c r="E470" s="10">
        <f>SUM(D459:D470)</f>
        <v>39089.57963006239</v>
      </c>
      <c r="F470" s="10">
        <f t="shared" si="29"/>
        <v>78597.99539506718</v>
      </c>
      <c r="G470" s="10">
        <f t="shared" si="30"/>
        <v>24.295808030019398</v>
      </c>
      <c r="H470" s="10">
        <f>SUM(G459:G470)</f>
        <v>355.3803699376078</v>
      </c>
      <c r="I470" s="37"/>
    </row>
    <row r="471" spans="1:9" ht="12.75">
      <c r="A471" s="44">
        <v>457</v>
      </c>
      <c r="B471" s="46"/>
      <c r="C471" s="10">
        <f t="shared" si="31"/>
        <v>78597.99539506718</v>
      </c>
      <c r="D471" s="10">
        <f t="shared" si="28"/>
        <v>3263.7525675311626</v>
      </c>
      <c r="E471" s="10"/>
      <c r="F471" s="10">
        <f t="shared" si="29"/>
        <v>75334.24282753601</v>
      </c>
      <c r="G471" s="10">
        <f t="shared" si="30"/>
        <v>23.327432468837365</v>
      </c>
      <c r="I471" s="37"/>
    </row>
    <row r="472" spans="1:9" ht="12.75">
      <c r="A472" s="44">
        <v>458</v>
      </c>
      <c r="B472" s="46"/>
      <c r="C472" s="10">
        <f t="shared" si="31"/>
        <v>75334.24282753601</v>
      </c>
      <c r="D472" s="10">
        <f t="shared" si="28"/>
        <v>3264.721230500637</v>
      </c>
      <c r="E472" s="10"/>
      <c r="F472" s="10">
        <f t="shared" si="29"/>
        <v>72069.52159703537</v>
      </c>
      <c r="G472" s="10">
        <f t="shared" si="30"/>
        <v>22.358769499362953</v>
      </c>
      <c r="I472" s="37"/>
    </row>
    <row r="473" spans="1:9" ht="12.75">
      <c r="A473" s="44">
        <v>459</v>
      </c>
      <c r="B473" s="46"/>
      <c r="C473" s="10">
        <f t="shared" si="31"/>
        <v>72069.52159703537</v>
      </c>
      <c r="D473" s="10">
        <f t="shared" si="28"/>
        <v>3265.6901809637016</v>
      </c>
      <c r="E473" s="10"/>
      <c r="F473" s="10">
        <f t="shared" si="29"/>
        <v>68803.83141607167</v>
      </c>
      <c r="G473" s="10">
        <f t="shared" si="30"/>
        <v>21.389819036298437</v>
      </c>
      <c r="I473" s="37"/>
    </row>
    <row r="474" spans="1:9" ht="12.75">
      <c r="A474" s="44">
        <v>460</v>
      </c>
      <c r="B474" s="46"/>
      <c r="C474" s="10">
        <f t="shared" si="31"/>
        <v>68803.83141607167</v>
      </c>
      <c r="D474" s="10">
        <f t="shared" si="28"/>
        <v>3266.659419005686</v>
      </c>
      <c r="E474" s="10"/>
      <c r="F474" s="10">
        <f t="shared" si="29"/>
        <v>65537.17199706598</v>
      </c>
      <c r="G474" s="10">
        <f t="shared" si="30"/>
        <v>20.420580994314378</v>
      </c>
      <c r="I474" s="37"/>
    </row>
    <row r="475" spans="1:9" ht="12.75">
      <c r="A475" s="44">
        <v>461</v>
      </c>
      <c r="B475" s="46"/>
      <c r="C475" s="10">
        <f t="shared" si="31"/>
        <v>65537.17199706598</v>
      </c>
      <c r="D475" s="10">
        <f t="shared" si="28"/>
        <v>3267.6289447119393</v>
      </c>
      <c r="E475" s="10"/>
      <c r="F475" s="10">
        <f t="shared" si="29"/>
        <v>62269.543052354034</v>
      </c>
      <c r="G475" s="10">
        <f t="shared" si="30"/>
        <v>19.451055288060523</v>
      </c>
      <c r="I475" s="37"/>
    </row>
    <row r="476" spans="1:9" ht="12.75">
      <c r="A476" s="44">
        <v>462</v>
      </c>
      <c r="B476" s="46"/>
      <c r="C476" s="10">
        <f t="shared" si="31"/>
        <v>62269.543052354034</v>
      </c>
      <c r="D476" s="10">
        <f t="shared" si="28"/>
        <v>3268.5987581678387</v>
      </c>
      <c r="E476" s="10"/>
      <c r="F476" s="10">
        <f t="shared" si="29"/>
        <v>59000.94429418619</v>
      </c>
      <c r="G476" s="10">
        <f t="shared" si="30"/>
        <v>18.481241832161206</v>
      </c>
      <c r="I476" s="37"/>
    </row>
    <row r="477" spans="1:9" ht="12.75">
      <c r="A477" s="44">
        <v>463</v>
      </c>
      <c r="B477" s="46"/>
      <c r="C477" s="10">
        <f t="shared" si="31"/>
        <v>59000.94429418619</v>
      </c>
      <c r="D477" s="10">
        <f t="shared" si="28"/>
        <v>3269.5688594587887</v>
      </c>
      <c r="E477" s="10"/>
      <c r="F477" s="10">
        <f t="shared" si="29"/>
        <v>55731.3754347274</v>
      </c>
      <c r="G477" s="10">
        <f t="shared" si="30"/>
        <v>17.511140541211038</v>
      </c>
      <c r="I477" s="37"/>
    </row>
    <row r="478" spans="1:13" ht="12.75">
      <c r="A478" s="44">
        <v>464</v>
      </c>
      <c r="B478" s="46"/>
      <c r="C478" s="10">
        <f t="shared" si="31"/>
        <v>55731.3754347274</v>
      </c>
      <c r="D478" s="10">
        <f t="shared" si="28"/>
        <v>3270.5392486702162</v>
      </c>
      <c r="E478" s="10"/>
      <c r="F478" s="10">
        <f t="shared" si="29"/>
        <v>52460.83618605718</v>
      </c>
      <c r="G478" s="10">
        <f t="shared" si="30"/>
        <v>16.540751329783763</v>
      </c>
      <c r="H478" s="10"/>
      <c r="I478" s="37"/>
      <c r="J478" s="10"/>
      <c r="K478" s="10"/>
      <c r="L478" s="10">
        <f>K478-K466</f>
        <v>0</v>
      </c>
      <c r="M478" s="54" t="e">
        <f>L478/K466</f>
        <v>#DIV/0!</v>
      </c>
    </row>
    <row r="479" spans="1:9" ht="12.75">
      <c r="A479" s="44">
        <v>465</v>
      </c>
      <c r="B479" s="46"/>
      <c r="C479" s="10">
        <f t="shared" si="31"/>
        <v>52460.83618605718</v>
      </c>
      <c r="D479" s="10">
        <f t="shared" si="28"/>
        <v>3271.509925887575</v>
      </c>
      <c r="E479" s="10"/>
      <c r="F479" s="10">
        <f t="shared" si="29"/>
        <v>49189.326260169604</v>
      </c>
      <c r="G479" s="10">
        <f t="shared" si="30"/>
        <v>15.570074112425273</v>
      </c>
      <c r="I479" s="37"/>
    </row>
    <row r="480" spans="1:9" ht="12.75">
      <c r="A480" s="44">
        <v>466</v>
      </c>
      <c r="B480" s="46"/>
      <c r="C480" s="10">
        <f t="shared" si="31"/>
        <v>49189.326260169604</v>
      </c>
      <c r="D480" s="10">
        <f t="shared" si="28"/>
        <v>3272.4808911963414</v>
      </c>
      <c r="E480" s="10"/>
      <c r="F480" s="10">
        <f t="shared" si="29"/>
        <v>45916.84536897326</v>
      </c>
      <c r="G480" s="10">
        <f t="shared" si="30"/>
        <v>14.59910880365866</v>
      </c>
      <c r="I480" s="37"/>
    </row>
    <row r="481" spans="1:9" ht="12.75">
      <c r="A481" s="44">
        <v>467</v>
      </c>
      <c r="B481" s="46"/>
      <c r="C481" s="10">
        <f t="shared" si="31"/>
        <v>45916.84536897326</v>
      </c>
      <c r="D481" s="10">
        <f t="shared" si="28"/>
        <v>3273.452144682021</v>
      </c>
      <c r="E481" s="10"/>
      <c r="F481" s="10">
        <f t="shared" si="29"/>
        <v>42643.39322429124</v>
      </c>
      <c r="G481" s="10">
        <f t="shared" si="30"/>
        <v>13.62785531797924</v>
      </c>
      <c r="I481" s="37"/>
    </row>
    <row r="482" spans="1:9" ht="12.75">
      <c r="A482" s="44">
        <v>468</v>
      </c>
      <c r="B482" s="46"/>
      <c r="C482" s="10">
        <f t="shared" si="31"/>
        <v>42643.39322429124</v>
      </c>
      <c r="D482" s="10">
        <f t="shared" si="28"/>
        <v>3274.423686430143</v>
      </c>
      <c r="E482" s="10">
        <f>SUM(D471:D482)</f>
        <v>39229.02585720605</v>
      </c>
      <c r="F482" s="10">
        <f t="shared" si="29"/>
        <v>39368.9695378611</v>
      </c>
      <c r="G482" s="10">
        <f t="shared" si="30"/>
        <v>12.65631356985689</v>
      </c>
      <c r="H482" s="10">
        <f>SUM(G471:G482)</f>
        <v>215.93414279394972</v>
      </c>
      <c r="I482" s="37"/>
    </row>
    <row r="483" spans="1:9" ht="12.75">
      <c r="A483" s="44">
        <v>469</v>
      </c>
      <c r="B483" s="46"/>
      <c r="C483" s="10">
        <f t="shared" si="31"/>
        <v>39368.9695378611</v>
      </c>
      <c r="D483" s="10">
        <f t="shared" si="28"/>
        <v>3275.395516526262</v>
      </c>
      <c r="E483" s="10"/>
      <c r="F483" s="10">
        <f t="shared" si="29"/>
        <v>36093.57402133484</v>
      </c>
      <c r="G483" s="10">
        <f t="shared" si="30"/>
        <v>11.684483473738139</v>
      </c>
      <c r="I483" s="37"/>
    </row>
    <row r="484" spans="1:9" ht="12.75">
      <c r="A484" s="44">
        <v>470</v>
      </c>
      <c r="B484" s="46"/>
      <c r="C484" s="10">
        <f t="shared" si="31"/>
        <v>36093.57402133484</v>
      </c>
      <c r="D484" s="10">
        <f t="shared" si="28"/>
        <v>3276.367635055957</v>
      </c>
      <c r="E484" s="10"/>
      <c r="F484" s="10">
        <f t="shared" si="29"/>
        <v>32817.206386278885</v>
      </c>
      <c r="G484" s="10">
        <f t="shared" si="30"/>
        <v>10.712364944042903</v>
      </c>
      <c r="I484" s="37"/>
    </row>
    <row r="485" spans="1:9" ht="12.75">
      <c r="A485" s="44">
        <v>471</v>
      </c>
      <c r="B485" s="46"/>
      <c r="C485" s="10">
        <f t="shared" si="31"/>
        <v>32817.206386278885</v>
      </c>
      <c r="D485" s="10">
        <f t="shared" si="28"/>
        <v>3277.340042104835</v>
      </c>
      <c r="E485" s="10"/>
      <c r="F485" s="10">
        <f t="shared" si="29"/>
        <v>29539.86634417405</v>
      </c>
      <c r="G485" s="10">
        <f t="shared" si="30"/>
        <v>9.739957895165055</v>
      </c>
      <c r="I485" s="37"/>
    </row>
    <row r="486" spans="1:9" ht="12.75">
      <c r="A486" s="44">
        <v>472</v>
      </c>
      <c r="B486" s="46"/>
      <c r="C486" s="10">
        <f t="shared" si="31"/>
        <v>29539.86634417405</v>
      </c>
      <c r="D486" s="10">
        <f t="shared" si="28"/>
        <v>3278.312737758525</v>
      </c>
      <c r="E486" s="10"/>
      <c r="F486" s="10">
        <f t="shared" si="29"/>
        <v>26261.553606415524</v>
      </c>
      <c r="G486" s="10">
        <f t="shared" si="30"/>
        <v>8.767262241474693</v>
      </c>
      <c r="I486" s="37"/>
    </row>
    <row r="487" spans="1:9" ht="12.75">
      <c r="A487" s="44">
        <v>473</v>
      </c>
      <c r="B487" s="46"/>
      <c r="C487" s="10">
        <f t="shared" si="31"/>
        <v>26261.553606415524</v>
      </c>
      <c r="D487" s="10">
        <f t="shared" si="28"/>
        <v>3279.2857221026848</v>
      </c>
      <c r="E487" s="10"/>
      <c r="F487" s="10">
        <f t="shared" si="29"/>
        <v>22982.267884312838</v>
      </c>
      <c r="G487" s="10">
        <f t="shared" si="30"/>
        <v>7.794277897314962</v>
      </c>
      <c r="I487" s="37"/>
    </row>
    <row r="488" spans="1:9" ht="12.75">
      <c r="A488" s="44">
        <v>474</v>
      </c>
      <c r="B488" s="46"/>
      <c r="C488" s="10">
        <f t="shared" si="31"/>
        <v>22982.267884312838</v>
      </c>
      <c r="D488" s="10">
        <f t="shared" si="28"/>
        <v>3280.258995222996</v>
      </c>
      <c r="E488" s="10"/>
      <c r="F488" s="10">
        <f t="shared" si="29"/>
        <v>19702.00888908984</v>
      </c>
      <c r="G488" s="10">
        <f t="shared" si="30"/>
        <v>6.821004777004064</v>
      </c>
      <c r="I488" s="37"/>
    </row>
    <row r="489" spans="1:9" ht="12.75">
      <c r="A489" s="44">
        <v>475</v>
      </c>
      <c r="B489" s="46"/>
      <c r="C489" s="10">
        <f t="shared" si="31"/>
        <v>19702.00888908984</v>
      </c>
      <c r="D489" s="10">
        <f t="shared" si="28"/>
        <v>3281.2325572051645</v>
      </c>
      <c r="E489" s="10"/>
      <c r="F489" s="10">
        <f t="shared" si="29"/>
        <v>16420.776331884677</v>
      </c>
      <c r="G489" s="10">
        <f t="shared" si="30"/>
        <v>5.8474427948352545</v>
      </c>
      <c r="I489" s="37"/>
    </row>
    <row r="490" spans="1:13" ht="12.75">
      <c r="A490" s="44">
        <v>476</v>
      </c>
      <c r="B490" s="46"/>
      <c r="C490" s="10">
        <f t="shared" si="31"/>
        <v>16420.776331884677</v>
      </c>
      <c r="D490" s="10">
        <f t="shared" si="28"/>
        <v>3282.206408134924</v>
      </c>
      <c r="E490" s="10"/>
      <c r="F490" s="10">
        <f t="shared" si="29"/>
        <v>13138.569923749754</v>
      </c>
      <c r="G490" s="10">
        <f t="shared" si="30"/>
        <v>4.873591865075807</v>
      </c>
      <c r="H490" s="10"/>
      <c r="I490" s="37"/>
      <c r="J490" s="10"/>
      <c r="K490" s="10"/>
      <c r="L490" s="10">
        <f>K490-K478</f>
        <v>0</v>
      </c>
      <c r="M490" s="54" t="e">
        <f>L490/K478</f>
        <v>#DIV/0!</v>
      </c>
    </row>
    <row r="491" spans="1:9" ht="12.75">
      <c r="A491" s="44">
        <v>477</v>
      </c>
      <c r="B491" s="46"/>
      <c r="C491" s="10">
        <f t="shared" si="31"/>
        <v>13138.569923749754</v>
      </c>
      <c r="D491" s="10">
        <f t="shared" si="28"/>
        <v>3283.180548098033</v>
      </c>
      <c r="E491" s="10"/>
      <c r="F491" s="10">
        <f t="shared" si="29"/>
        <v>9855.389375651721</v>
      </c>
      <c r="G491" s="10">
        <f t="shared" si="30"/>
        <v>3.8994519019672165</v>
      </c>
      <c r="I491" s="37"/>
    </row>
    <row r="492" spans="1:9" ht="12.75">
      <c r="A492" s="44">
        <v>478</v>
      </c>
      <c r="B492" s="46"/>
      <c r="C492" s="10">
        <f t="shared" si="31"/>
        <v>9855.389375651721</v>
      </c>
      <c r="D492" s="10">
        <f t="shared" si="28"/>
        <v>3284.1549771802715</v>
      </c>
      <c r="E492" s="10"/>
      <c r="F492" s="10">
        <f t="shared" si="29"/>
        <v>6571.23439847145</v>
      </c>
      <c r="G492" s="10">
        <f t="shared" si="30"/>
        <v>2.9250228197283166</v>
      </c>
      <c r="I492" s="37"/>
    </row>
    <row r="493" spans="1:9" ht="12.75">
      <c r="A493" s="44">
        <v>479</v>
      </c>
      <c r="B493" s="46"/>
      <c r="C493" s="10">
        <f t="shared" si="31"/>
        <v>6571.23439847145</v>
      </c>
      <c r="D493" s="10">
        <f t="shared" si="28"/>
        <v>3285.129695467453</v>
      </c>
      <c r="E493" s="10"/>
      <c r="F493" s="10">
        <f t="shared" si="29"/>
        <v>3286.1047030039967</v>
      </c>
      <c r="G493" s="10">
        <f t="shared" si="30"/>
        <v>1.9503045325470492</v>
      </c>
      <c r="I493" s="37"/>
    </row>
    <row r="494" spans="1:9" ht="12.75">
      <c r="A494" s="44">
        <v>480</v>
      </c>
      <c r="B494" s="46"/>
      <c r="C494" s="10">
        <f t="shared" si="31"/>
        <v>3286.1047030039967</v>
      </c>
      <c r="D494" s="10">
        <f t="shared" si="28"/>
        <v>3286.104703045409</v>
      </c>
      <c r="E494" s="10">
        <f>SUM(D483:D494)</f>
        <v>39368.969537902514</v>
      </c>
      <c r="F494" s="10">
        <f t="shared" si="29"/>
        <v>-4.141247700317763E-08</v>
      </c>
      <c r="G494" s="10">
        <f t="shared" si="30"/>
        <v>0.9752969545908334</v>
      </c>
      <c r="H494" s="10">
        <f>SUM(G483:G494)</f>
        <v>75.99046209748428</v>
      </c>
      <c r="I494" s="37"/>
    </row>
    <row r="495" spans="2:6" ht="12.75">
      <c r="B495" s="46"/>
      <c r="F495" s="10"/>
    </row>
    <row r="496" spans="2:6" ht="12.75">
      <c r="B496" s="46"/>
      <c r="F496" s="10"/>
    </row>
    <row r="497" spans="2:6" ht="12.75">
      <c r="B497" s="46"/>
      <c r="F497" s="10"/>
    </row>
    <row r="498" spans="2:6" ht="12.75">
      <c r="B498" s="46"/>
      <c r="F498" s="10"/>
    </row>
    <row r="499" spans="2:6" ht="12.75">
      <c r="B499" s="46"/>
      <c r="F499" s="10"/>
    </row>
    <row r="500" ht="12.75">
      <c r="F500" s="10"/>
    </row>
    <row r="501" ht="12.75">
      <c r="F501" s="10"/>
    </row>
    <row r="502" ht="12.75">
      <c r="F502" s="10"/>
    </row>
    <row r="503" ht="12.75">
      <c r="F503" s="10"/>
    </row>
    <row r="504" ht="12.75">
      <c r="F504" s="10"/>
    </row>
    <row r="505" ht="12.75">
      <c r="F505" s="10"/>
    </row>
    <row r="506" ht="12.75">
      <c r="F506" s="10"/>
    </row>
    <row r="507" ht="12.75">
      <c r="F507" s="10"/>
    </row>
    <row r="508" ht="12.75">
      <c r="F508" s="10"/>
    </row>
    <row r="509" ht="12.75">
      <c r="F509" s="10"/>
    </row>
    <row r="510" ht="12.75">
      <c r="F510" s="10"/>
    </row>
    <row r="511" ht="12.75">
      <c r="F511" s="10"/>
    </row>
    <row r="512" ht="12.75">
      <c r="F512" s="10"/>
    </row>
    <row r="513" ht="12.75">
      <c r="F513" s="10"/>
    </row>
    <row r="514" ht="12.75">
      <c r="F514" s="10"/>
    </row>
    <row r="515" ht="12.75">
      <c r="F515" s="10"/>
    </row>
    <row r="516" ht="12.75">
      <c r="F516" s="10"/>
    </row>
    <row r="517" ht="12.75">
      <c r="F517" s="10"/>
    </row>
    <row r="518" ht="12.75">
      <c r="F518" s="10"/>
    </row>
    <row r="519" ht="12.75">
      <c r="F519" s="10"/>
    </row>
    <row r="520" ht="12.75">
      <c r="F520" s="10"/>
    </row>
    <row r="521" ht="12.75">
      <c r="F521" s="10"/>
    </row>
    <row r="522" ht="12.75">
      <c r="F522" s="10"/>
    </row>
    <row r="523" ht="12.75">
      <c r="F523" s="10"/>
    </row>
    <row r="524" ht="12.75">
      <c r="F524" s="10"/>
    </row>
    <row r="525" ht="12.75">
      <c r="F525" s="10"/>
    </row>
    <row r="526" ht="12.75">
      <c r="F526" s="10"/>
    </row>
    <row r="527" ht="12.75">
      <c r="F527" s="10"/>
    </row>
    <row r="528" ht="12.75">
      <c r="F528" s="10"/>
    </row>
    <row r="529" ht="12.75">
      <c r="F529" s="10"/>
    </row>
    <row r="530" ht="12.75">
      <c r="F530" s="10"/>
    </row>
    <row r="531" ht="12.75">
      <c r="F531" s="10"/>
    </row>
    <row r="532" ht="12.75">
      <c r="F532" s="10"/>
    </row>
    <row r="533" ht="12.75">
      <c r="F533" s="10"/>
    </row>
    <row r="534" ht="12.75">
      <c r="F534" s="10"/>
    </row>
    <row r="535" ht="12.75">
      <c r="F535" s="10"/>
    </row>
    <row r="536" ht="12.75">
      <c r="F536" s="10"/>
    </row>
    <row r="537" ht="12.75">
      <c r="F537" s="10"/>
    </row>
    <row r="538" ht="12.75">
      <c r="F538" s="10"/>
    </row>
    <row r="539" ht="12.75">
      <c r="F539" s="10"/>
    </row>
    <row r="540" ht="12.75">
      <c r="F540" s="10"/>
    </row>
    <row r="541" ht="12.75">
      <c r="F541" s="10"/>
    </row>
    <row r="542" ht="12.75">
      <c r="F542" s="10"/>
    </row>
    <row r="543" ht="12.75">
      <c r="F543" s="10"/>
    </row>
    <row r="544" ht="12.75">
      <c r="F544" s="10"/>
    </row>
    <row r="545" ht="12.75">
      <c r="F545" s="10"/>
    </row>
    <row r="546" ht="12.75">
      <c r="F546" s="10"/>
    </row>
    <row r="547" ht="12.75">
      <c r="F547" s="10"/>
    </row>
    <row r="548" ht="12.75">
      <c r="F548" s="10"/>
    </row>
    <row r="549" ht="12.75">
      <c r="F549" s="10"/>
    </row>
    <row r="550" ht="12.75">
      <c r="F550" s="10"/>
    </row>
    <row r="551" ht="12.75">
      <c r="F551" s="10"/>
    </row>
    <row r="552" ht="12.75">
      <c r="F552" s="10"/>
    </row>
    <row r="553" ht="12.75">
      <c r="F553" s="10"/>
    </row>
    <row r="554" ht="12.75">
      <c r="F554" s="10"/>
    </row>
    <row r="555" ht="12.75">
      <c r="F555" s="10"/>
    </row>
    <row r="556" ht="12.75">
      <c r="F556" s="10"/>
    </row>
    <row r="557" ht="12.75">
      <c r="F557" s="10"/>
    </row>
    <row r="558" ht="12.75">
      <c r="F558" s="10"/>
    </row>
    <row r="559" ht="12.75">
      <c r="F559" s="10"/>
    </row>
    <row r="560" ht="12.75">
      <c r="F560" s="10"/>
    </row>
    <row r="561" ht="12.75">
      <c r="F561" s="10"/>
    </row>
    <row r="562" ht="12.75">
      <c r="F562" s="10"/>
    </row>
    <row r="563" ht="12.75">
      <c r="F563" s="10"/>
    </row>
    <row r="564" ht="12.75">
      <c r="F564" s="10"/>
    </row>
    <row r="565" ht="12.75">
      <c r="F565" s="10"/>
    </row>
    <row r="566" ht="12.75">
      <c r="F566" s="10"/>
    </row>
    <row r="567" ht="12.75">
      <c r="F567" s="10"/>
    </row>
    <row r="568" ht="12.75">
      <c r="F568" s="10"/>
    </row>
    <row r="569" ht="12.75">
      <c r="F569" s="10"/>
    </row>
    <row r="570" ht="12.75">
      <c r="F570" s="10"/>
    </row>
    <row r="571" ht="12.75">
      <c r="F571" s="10"/>
    </row>
    <row r="572" ht="12.75">
      <c r="F572" s="10"/>
    </row>
    <row r="573" ht="12.75">
      <c r="F573" s="10"/>
    </row>
    <row r="574" ht="12.75">
      <c r="F574" s="10"/>
    </row>
    <row r="575" ht="12.75">
      <c r="F575" s="10"/>
    </row>
    <row r="576" ht="12.75">
      <c r="F576" s="10"/>
    </row>
    <row r="577" ht="12.75">
      <c r="F577" s="10"/>
    </row>
    <row r="578" ht="12.75">
      <c r="F578" s="10"/>
    </row>
    <row r="579" ht="12.75">
      <c r="F579" s="10"/>
    </row>
    <row r="580" ht="12.75">
      <c r="F580" s="10"/>
    </row>
    <row r="581" ht="12.75">
      <c r="F581" s="10"/>
    </row>
    <row r="582" ht="12.75">
      <c r="F582" s="10"/>
    </row>
    <row r="583" ht="12.75">
      <c r="F583" s="10"/>
    </row>
    <row r="584" ht="12.75">
      <c r="F584" s="10"/>
    </row>
    <row r="585" ht="12.75">
      <c r="F585" s="10"/>
    </row>
    <row r="586" ht="12.75">
      <c r="F586" s="10"/>
    </row>
    <row r="587" ht="12.75">
      <c r="F587" s="10"/>
    </row>
    <row r="588" ht="12.75">
      <c r="F588" s="10"/>
    </row>
    <row r="589" ht="12.75">
      <c r="F589" s="10"/>
    </row>
    <row r="590" ht="12.75">
      <c r="F590" s="10"/>
    </row>
    <row r="591" ht="12.75">
      <c r="F591" s="10"/>
    </row>
    <row r="592" ht="12.75">
      <c r="F592" s="10"/>
    </row>
    <row r="593" ht="12.75">
      <c r="F593" s="10"/>
    </row>
    <row r="594" ht="12.75">
      <c r="F594" s="10"/>
    </row>
    <row r="595" ht="12.75">
      <c r="F595" s="10"/>
    </row>
    <row r="596" ht="12.75">
      <c r="F596" s="10"/>
    </row>
    <row r="597" ht="12.75">
      <c r="F597" s="10"/>
    </row>
  </sheetData>
  <printOptions/>
  <pageMargins left="0.5" right="0.5" top="0.5" bottom="0.5" header="0.5" footer="0.5"/>
  <pageSetup horizontalDpi="300" verticalDpi="300" orientation="portrait" r:id="rId1"/>
  <headerFooter alignWithMargins="0">
    <oddFooter>&amp;L&amp;F, &amp;A&amp;CPage &amp;P of &amp;N&amp;R&amp;D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G44"/>
  <sheetViews>
    <sheetView zoomScale="80" zoomScaleNormal="80" workbookViewId="0" topLeftCell="A1">
      <selection activeCell="B1" sqref="B1"/>
    </sheetView>
  </sheetViews>
  <sheetFormatPr defaultColWidth="9.140625" defaultRowHeight="12.75"/>
  <cols>
    <col min="1" max="1" width="24.421875" style="0" customWidth="1"/>
    <col min="2" max="3" width="11.57421875" style="0" bestFit="1" customWidth="1"/>
    <col min="4" max="4" width="12.28125" style="0" bestFit="1" customWidth="1"/>
    <col min="5" max="5" width="10.00390625" style="0" bestFit="1" customWidth="1"/>
    <col min="6" max="6" width="10.8515625" style="0" bestFit="1" customWidth="1"/>
    <col min="7" max="12" width="10.00390625" style="0" bestFit="1" customWidth="1"/>
    <col min="13" max="13" width="10.7109375" style="0" bestFit="1" customWidth="1"/>
  </cols>
  <sheetData>
    <row r="1" spans="1:6" ht="15.75">
      <c r="A1" s="1" t="s">
        <v>73</v>
      </c>
      <c r="B1" s="2" t="s">
        <v>160</v>
      </c>
      <c r="F1" s="129">
        <f ca="1">TODAY()</f>
        <v>37209</v>
      </c>
    </row>
    <row r="2" ht="12.75">
      <c r="A2" t="s">
        <v>148</v>
      </c>
    </row>
    <row r="3" spans="1:2" ht="12.75">
      <c r="A3" s="2" t="s">
        <v>156</v>
      </c>
      <c r="B3" s="2"/>
    </row>
    <row r="4" spans="1:4" ht="12.75">
      <c r="A4" s="36" t="s">
        <v>43</v>
      </c>
      <c r="B4" s="69"/>
      <c r="C4" s="10">
        <f>+assumptions!F11*assumptions!F4</f>
        <v>1470360</v>
      </c>
      <c r="D4" t="s">
        <v>74</v>
      </c>
    </row>
    <row r="5" spans="1:3" ht="12.75">
      <c r="A5" s="36" t="s">
        <v>157</v>
      </c>
      <c r="B5" s="69"/>
      <c r="C5" s="10">
        <f>+projections!B34</f>
        <v>73518</v>
      </c>
    </row>
    <row r="6" spans="1:3" ht="12.75">
      <c r="A6" s="2" t="s">
        <v>75</v>
      </c>
      <c r="B6" s="41"/>
      <c r="C6" s="41">
        <f>SUM(C4:C5)</f>
        <v>1543878</v>
      </c>
    </row>
    <row r="7" spans="1:3" ht="12.75">
      <c r="A7" t="s">
        <v>25</v>
      </c>
      <c r="B7" s="10"/>
      <c r="C7" s="10"/>
    </row>
    <row r="8" spans="1:3" ht="12.75">
      <c r="A8" s="36" t="s">
        <v>76</v>
      </c>
      <c r="B8" s="11">
        <f>+assumptions!F14</f>
        <v>2500</v>
      </c>
      <c r="C8" s="10">
        <f>-B8*Units</f>
        <v>-60000</v>
      </c>
    </row>
    <row r="9" spans="2:3" ht="12.75">
      <c r="B9" s="10"/>
      <c r="C9" s="10"/>
    </row>
    <row r="10" spans="1:3" ht="12.75">
      <c r="A10" s="2" t="s">
        <v>77</v>
      </c>
      <c r="B10" s="41"/>
      <c r="C10" s="41">
        <f>SUM(C6:C9)</f>
        <v>1483878</v>
      </c>
    </row>
    <row r="11" spans="1:4" ht="12.75">
      <c r="A11" s="36" t="s">
        <v>78</v>
      </c>
      <c r="B11" s="10"/>
      <c r="C11" s="70">
        <v>27.5</v>
      </c>
      <c r="D11" t="s">
        <v>79</v>
      </c>
    </row>
    <row r="12" spans="1:3" ht="12.75">
      <c r="A12" s="2" t="s">
        <v>80</v>
      </c>
      <c r="B12" s="41"/>
      <c r="C12" s="41">
        <f>C10/C11</f>
        <v>53959.2</v>
      </c>
    </row>
    <row r="13" spans="2:3" ht="12.75">
      <c r="B13" s="10"/>
      <c r="C13" s="10"/>
    </row>
    <row r="14" spans="1:4" ht="12.75">
      <c r="A14" t="s">
        <v>83</v>
      </c>
      <c r="B14" s="10"/>
      <c r="C14" s="12">
        <v>0.3</v>
      </c>
      <c r="D14" t="s">
        <v>82</v>
      </c>
    </row>
    <row r="15" spans="1:4" ht="12.75">
      <c r="A15" t="s">
        <v>84</v>
      </c>
      <c r="B15" s="10"/>
      <c r="C15" s="10">
        <f>C10*C14</f>
        <v>445163.39999999997</v>
      </c>
      <c r="D15" t="s">
        <v>85</v>
      </c>
    </row>
    <row r="16" spans="1:4" ht="12.75">
      <c r="A16" t="s">
        <v>86</v>
      </c>
      <c r="B16" s="10"/>
      <c r="C16" s="72">
        <v>8</v>
      </c>
      <c r="D16" t="s">
        <v>79</v>
      </c>
    </row>
    <row r="17" spans="2:3" ht="12.75">
      <c r="B17" s="10"/>
      <c r="C17" s="10"/>
    </row>
    <row r="18" spans="1:31" ht="12.75">
      <c r="A18" s="2" t="s">
        <v>90</v>
      </c>
      <c r="B18" s="10"/>
      <c r="C18" s="10"/>
      <c r="D18" s="3" t="s">
        <v>48</v>
      </c>
      <c r="E18" s="3" t="s">
        <v>49</v>
      </c>
      <c r="F18" s="3" t="s">
        <v>50</v>
      </c>
      <c r="G18" s="3" t="s">
        <v>51</v>
      </c>
      <c r="H18" s="3" t="s">
        <v>52</v>
      </c>
      <c r="I18" s="3" t="s">
        <v>53</v>
      </c>
      <c r="J18" s="3" t="s">
        <v>54</v>
      </c>
      <c r="K18" s="3" t="s">
        <v>55</v>
      </c>
      <c r="L18" s="3" t="s">
        <v>56</v>
      </c>
      <c r="M18" s="3" t="s">
        <v>57</v>
      </c>
      <c r="N18" s="3" t="s">
        <v>63</v>
      </c>
      <c r="O18" s="3" t="s">
        <v>64</v>
      </c>
      <c r="P18" s="3" t="s">
        <v>65</v>
      </c>
      <c r="Q18" s="3" t="s">
        <v>66</v>
      </c>
      <c r="R18" s="3" t="s">
        <v>67</v>
      </c>
      <c r="S18" s="3" t="s">
        <v>68</v>
      </c>
      <c r="T18" s="3" t="s">
        <v>69</v>
      </c>
      <c r="U18" s="3" t="s">
        <v>70</v>
      </c>
      <c r="V18" s="3" t="s">
        <v>71</v>
      </c>
      <c r="W18" s="3" t="s">
        <v>72</v>
      </c>
      <c r="X18" s="3" t="s">
        <v>91</v>
      </c>
      <c r="Y18" s="3" t="s">
        <v>92</v>
      </c>
      <c r="Z18" s="3" t="s">
        <v>93</v>
      </c>
      <c r="AA18" s="3" t="s">
        <v>94</v>
      </c>
      <c r="AB18" s="3" t="s">
        <v>95</v>
      </c>
      <c r="AC18" s="3" t="s">
        <v>96</v>
      </c>
      <c r="AD18" s="3" t="s">
        <v>97</v>
      </c>
      <c r="AE18" s="3" t="s">
        <v>98</v>
      </c>
    </row>
    <row r="19" spans="2:31" ht="12.75">
      <c r="B19" s="10"/>
      <c r="C19" s="10"/>
      <c r="D19" s="3">
        <v>2001</v>
      </c>
      <c r="E19" s="3">
        <v>2002</v>
      </c>
      <c r="F19" s="3">
        <v>2003</v>
      </c>
      <c r="G19" s="3">
        <v>2004</v>
      </c>
      <c r="H19" s="3">
        <v>2005</v>
      </c>
      <c r="I19" s="3">
        <v>2006</v>
      </c>
      <c r="J19" s="3">
        <v>2007</v>
      </c>
      <c r="K19" s="3">
        <v>2008</v>
      </c>
      <c r="L19" s="3">
        <v>2009</v>
      </c>
      <c r="M19" s="3">
        <v>2010</v>
      </c>
      <c r="N19" s="3">
        <v>2011</v>
      </c>
      <c r="O19" s="3">
        <v>2012</v>
      </c>
      <c r="P19" s="3">
        <v>2013</v>
      </c>
      <c r="Q19" s="3">
        <v>2014</v>
      </c>
      <c r="R19" s="3">
        <v>2015</v>
      </c>
      <c r="S19" s="3">
        <v>2016</v>
      </c>
      <c r="T19" s="3">
        <v>2017</v>
      </c>
      <c r="U19" s="3">
        <v>2018</v>
      </c>
      <c r="V19" s="3">
        <v>2019</v>
      </c>
      <c r="W19" s="3">
        <v>2020</v>
      </c>
      <c r="X19" s="3">
        <v>2021</v>
      </c>
      <c r="Y19" s="3">
        <v>2022</v>
      </c>
      <c r="Z19" s="3">
        <v>2023</v>
      </c>
      <c r="AA19" s="3">
        <v>2024</v>
      </c>
      <c r="AB19" s="3">
        <v>2025</v>
      </c>
      <c r="AC19" s="3">
        <v>2026</v>
      </c>
      <c r="AD19" s="3">
        <v>2027</v>
      </c>
      <c r="AE19" s="3">
        <v>2028</v>
      </c>
    </row>
    <row r="20" spans="1:33" ht="12.75">
      <c r="A20" t="s">
        <v>73</v>
      </c>
      <c r="B20" s="10"/>
      <c r="C20" s="10"/>
      <c r="D20" s="10">
        <f>$C$12</f>
        <v>53959.2</v>
      </c>
      <c r="E20" s="10">
        <f aca="true" t="shared" si="0" ref="E20:AD20">$C$12</f>
        <v>53959.2</v>
      </c>
      <c r="F20" s="10">
        <f t="shared" si="0"/>
        <v>53959.2</v>
      </c>
      <c r="G20" s="10">
        <f t="shared" si="0"/>
        <v>53959.2</v>
      </c>
      <c r="H20" s="10">
        <f t="shared" si="0"/>
        <v>53959.2</v>
      </c>
      <c r="I20" s="10">
        <f t="shared" si="0"/>
        <v>53959.2</v>
      </c>
      <c r="J20" s="10">
        <f t="shared" si="0"/>
        <v>53959.2</v>
      </c>
      <c r="K20" s="10">
        <f t="shared" si="0"/>
        <v>53959.2</v>
      </c>
      <c r="L20" s="10">
        <f t="shared" si="0"/>
        <v>53959.2</v>
      </c>
      <c r="M20" s="10">
        <f t="shared" si="0"/>
        <v>53959.2</v>
      </c>
      <c r="N20" s="84">
        <f t="shared" si="0"/>
        <v>53959.2</v>
      </c>
      <c r="O20" s="84">
        <f t="shared" si="0"/>
        <v>53959.2</v>
      </c>
      <c r="P20" s="84">
        <f t="shared" si="0"/>
        <v>53959.2</v>
      </c>
      <c r="Q20" s="84">
        <f t="shared" si="0"/>
        <v>53959.2</v>
      </c>
      <c r="R20" s="84">
        <f t="shared" si="0"/>
        <v>53959.2</v>
      </c>
      <c r="S20" s="84">
        <f t="shared" si="0"/>
        <v>53959.2</v>
      </c>
      <c r="T20" s="84">
        <f t="shared" si="0"/>
        <v>53959.2</v>
      </c>
      <c r="U20" s="84">
        <f t="shared" si="0"/>
        <v>53959.2</v>
      </c>
      <c r="V20" s="84">
        <f t="shared" si="0"/>
        <v>53959.2</v>
      </c>
      <c r="W20" s="84">
        <f t="shared" si="0"/>
        <v>53959.2</v>
      </c>
      <c r="X20" s="84">
        <f t="shared" si="0"/>
        <v>53959.2</v>
      </c>
      <c r="Y20" s="84">
        <f t="shared" si="0"/>
        <v>53959.2</v>
      </c>
      <c r="Z20" s="84">
        <f t="shared" si="0"/>
        <v>53959.2</v>
      </c>
      <c r="AA20" s="84">
        <f t="shared" si="0"/>
        <v>53959.2</v>
      </c>
      <c r="AB20" s="84">
        <f t="shared" si="0"/>
        <v>53959.2</v>
      </c>
      <c r="AC20" s="84">
        <f t="shared" si="0"/>
        <v>53959.2</v>
      </c>
      <c r="AD20" s="84">
        <f t="shared" si="0"/>
        <v>53959.2</v>
      </c>
      <c r="AE20" s="84">
        <f>$C$12/2</f>
        <v>26979.6</v>
      </c>
      <c r="AF20" s="84"/>
      <c r="AG20" s="84"/>
    </row>
    <row r="21" spans="1:33" ht="12.75">
      <c r="A21" t="s">
        <v>99</v>
      </c>
      <c r="B21" s="12">
        <v>0.08</v>
      </c>
      <c r="C21" s="10"/>
      <c r="D21" s="68">
        <f>NPV(B21,D20:AE20)</f>
        <v>593180.0487158175</v>
      </c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4"/>
    </row>
    <row r="22" spans="2:3" ht="12.75">
      <c r="B22" s="10"/>
      <c r="C22" s="10"/>
    </row>
    <row r="23" spans="2:31" ht="12.75">
      <c r="B23" s="10"/>
      <c r="C23" s="10"/>
      <c r="D23" s="3" t="s">
        <v>48</v>
      </c>
      <c r="E23" s="3" t="s">
        <v>49</v>
      </c>
      <c r="F23" s="3" t="s">
        <v>50</v>
      </c>
      <c r="G23" s="3" t="s">
        <v>51</v>
      </c>
      <c r="H23" s="3" t="s">
        <v>52</v>
      </c>
      <c r="I23" s="3" t="s">
        <v>53</v>
      </c>
      <c r="J23" s="3" t="s">
        <v>54</v>
      </c>
      <c r="K23" s="3" t="s">
        <v>55</v>
      </c>
      <c r="L23" s="3" t="s">
        <v>56</v>
      </c>
      <c r="M23" s="3" t="s">
        <v>57</v>
      </c>
      <c r="N23" s="3" t="s">
        <v>63</v>
      </c>
      <c r="O23" s="3" t="s">
        <v>64</v>
      </c>
      <c r="P23" s="3" t="s">
        <v>65</v>
      </c>
      <c r="Q23" s="3" t="s">
        <v>66</v>
      </c>
      <c r="R23" s="3" t="s">
        <v>67</v>
      </c>
      <c r="S23" s="3" t="s">
        <v>68</v>
      </c>
      <c r="T23" s="3" t="s">
        <v>69</v>
      </c>
      <c r="U23" s="3" t="s">
        <v>70</v>
      </c>
      <c r="V23" s="3" t="s">
        <v>71</v>
      </c>
      <c r="W23" s="3" t="s">
        <v>72</v>
      </c>
      <c r="X23" s="3" t="s">
        <v>91</v>
      </c>
      <c r="Y23" s="3" t="s">
        <v>92</v>
      </c>
      <c r="Z23" s="3" t="s">
        <v>93</v>
      </c>
      <c r="AA23" s="3" t="s">
        <v>94</v>
      </c>
      <c r="AB23" s="3" t="s">
        <v>95</v>
      </c>
      <c r="AC23" s="3" t="s">
        <v>96</v>
      </c>
      <c r="AD23" s="3" t="s">
        <v>97</v>
      </c>
      <c r="AE23" s="3" t="s">
        <v>98</v>
      </c>
    </row>
    <row r="24" spans="2:31" ht="12.75">
      <c r="B24" s="75" t="s">
        <v>31</v>
      </c>
      <c r="C24" s="76" t="s">
        <v>78</v>
      </c>
      <c r="D24" s="3">
        <v>2001</v>
      </c>
      <c r="E24" s="3">
        <v>2002</v>
      </c>
      <c r="F24" s="3">
        <v>2003</v>
      </c>
      <c r="G24" s="3">
        <v>2004</v>
      </c>
      <c r="H24" s="3">
        <v>2005</v>
      </c>
      <c r="I24" s="3">
        <v>2006</v>
      </c>
      <c r="J24" s="3">
        <v>2007</v>
      </c>
      <c r="K24" s="3">
        <v>2008</v>
      </c>
      <c r="L24" s="3">
        <v>2009</v>
      </c>
      <c r="M24" s="3">
        <v>2010</v>
      </c>
      <c r="N24" s="3">
        <v>2011</v>
      </c>
      <c r="O24" s="3">
        <v>2012</v>
      </c>
      <c r="P24" s="3">
        <v>2013</v>
      </c>
      <c r="Q24" s="3">
        <v>2014</v>
      </c>
      <c r="R24" s="3">
        <v>2015</v>
      </c>
      <c r="S24" s="3">
        <v>2016</v>
      </c>
      <c r="T24" s="3">
        <v>2017</v>
      </c>
      <c r="U24" s="3">
        <v>2018</v>
      </c>
      <c r="V24" s="3">
        <v>2019</v>
      </c>
      <c r="W24" s="3">
        <v>2020</v>
      </c>
      <c r="X24" s="3">
        <v>2021</v>
      </c>
      <c r="Y24" s="3">
        <v>2022</v>
      </c>
      <c r="Z24" s="3">
        <v>2023</v>
      </c>
      <c r="AA24" s="3">
        <v>2024</v>
      </c>
      <c r="AB24" s="3">
        <v>2025</v>
      </c>
      <c r="AC24" s="3">
        <v>2026</v>
      </c>
      <c r="AD24" s="3">
        <v>2027</v>
      </c>
      <c r="AE24" s="3">
        <v>2028</v>
      </c>
    </row>
    <row r="25" spans="1:11" ht="12.75">
      <c r="A25" t="s">
        <v>88</v>
      </c>
      <c r="B25" s="10">
        <f>C15</f>
        <v>445163.39999999997</v>
      </c>
      <c r="C25" s="74">
        <f>C16</f>
        <v>8</v>
      </c>
      <c r="D25" s="10">
        <f>$B25/$C25</f>
        <v>55645.424999999996</v>
      </c>
      <c r="E25" s="10">
        <f aca="true" t="shared" si="1" ref="E25:K25">$B25/$C25</f>
        <v>55645.424999999996</v>
      </c>
      <c r="F25" s="10">
        <f t="shared" si="1"/>
        <v>55645.424999999996</v>
      </c>
      <c r="G25" s="10">
        <f t="shared" si="1"/>
        <v>55645.424999999996</v>
      </c>
      <c r="H25" s="10">
        <f t="shared" si="1"/>
        <v>55645.424999999996</v>
      </c>
      <c r="I25" s="10">
        <f t="shared" si="1"/>
        <v>55645.424999999996</v>
      </c>
      <c r="J25" s="10">
        <f t="shared" si="1"/>
        <v>55645.424999999996</v>
      </c>
      <c r="K25" s="10">
        <f t="shared" si="1"/>
        <v>55645.424999999996</v>
      </c>
    </row>
    <row r="26" spans="1:31" ht="12.75">
      <c r="A26" t="s">
        <v>87</v>
      </c>
      <c r="B26" s="10">
        <f>C10-B25</f>
        <v>1038714.6000000001</v>
      </c>
      <c r="C26" s="73">
        <f>C11</f>
        <v>27.5</v>
      </c>
      <c r="D26" s="10">
        <f>$B26/$C26</f>
        <v>37771.44</v>
      </c>
      <c r="E26" s="10">
        <f aca="true" t="shared" si="2" ref="E26:AD26">$B26/$C26</f>
        <v>37771.44</v>
      </c>
      <c r="F26" s="10">
        <f t="shared" si="2"/>
        <v>37771.44</v>
      </c>
      <c r="G26" s="10">
        <f t="shared" si="2"/>
        <v>37771.44</v>
      </c>
      <c r="H26" s="10">
        <f t="shared" si="2"/>
        <v>37771.44</v>
      </c>
      <c r="I26" s="10">
        <f t="shared" si="2"/>
        <v>37771.44</v>
      </c>
      <c r="J26" s="10">
        <f t="shared" si="2"/>
        <v>37771.44</v>
      </c>
      <c r="K26" s="10">
        <f t="shared" si="2"/>
        <v>37771.44</v>
      </c>
      <c r="L26" s="10">
        <f t="shared" si="2"/>
        <v>37771.44</v>
      </c>
      <c r="M26" s="10">
        <f t="shared" si="2"/>
        <v>37771.44</v>
      </c>
      <c r="N26" s="85">
        <f t="shared" si="2"/>
        <v>37771.44</v>
      </c>
      <c r="O26" s="85">
        <f t="shared" si="2"/>
        <v>37771.44</v>
      </c>
      <c r="P26" s="85">
        <f t="shared" si="2"/>
        <v>37771.44</v>
      </c>
      <c r="Q26" s="85">
        <f t="shared" si="2"/>
        <v>37771.44</v>
      </c>
      <c r="R26" s="85">
        <f t="shared" si="2"/>
        <v>37771.44</v>
      </c>
      <c r="S26" s="85">
        <f t="shared" si="2"/>
        <v>37771.44</v>
      </c>
      <c r="T26" s="85">
        <f t="shared" si="2"/>
        <v>37771.44</v>
      </c>
      <c r="U26" s="85">
        <f t="shared" si="2"/>
        <v>37771.44</v>
      </c>
      <c r="V26" s="85">
        <f t="shared" si="2"/>
        <v>37771.44</v>
      </c>
      <c r="W26" s="85">
        <f t="shared" si="2"/>
        <v>37771.44</v>
      </c>
      <c r="X26" s="85">
        <f t="shared" si="2"/>
        <v>37771.44</v>
      </c>
      <c r="Y26" s="85">
        <f t="shared" si="2"/>
        <v>37771.44</v>
      </c>
      <c r="Z26" s="85">
        <f t="shared" si="2"/>
        <v>37771.44</v>
      </c>
      <c r="AA26" s="85">
        <f t="shared" si="2"/>
        <v>37771.44</v>
      </c>
      <c r="AB26" s="85">
        <f t="shared" si="2"/>
        <v>37771.44</v>
      </c>
      <c r="AC26" s="85">
        <f t="shared" si="2"/>
        <v>37771.44</v>
      </c>
      <c r="AD26" s="85">
        <f t="shared" si="2"/>
        <v>37771.44</v>
      </c>
      <c r="AE26" s="85">
        <f>$B26/$C26/2</f>
        <v>18885.72</v>
      </c>
    </row>
    <row r="27" spans="1:31" s="2" customFormat="1" ht="12.75">
      <c r="A27" s="31" t="s">
        <v>89</v>
      </c>
      <c r="B27" s="32">
        <f>SUM(B25:B26)</f>
        <v>1483878</v>
      </c>
      <c r="C27" s="32"/>
      <c r="D27" s="32">
        <f>SUM(D25:D26)</f>
        <v>93416.86499999999</v>
      </c>
      <c r="E27" s="32">
        <f aca="true" t="shared" si="3" ref="E27:M27">SUM(E25:E26)</f>
        <v>93416.86499999999</v>
      </c>
      <c r="F27" s="32">
        <f t="shared" si="3"/>
        <v>93416.86499999999</v>
      </c>
      <c r="G27" s="32">
        <f t="shared" si="3"/>
        <v>93416.86499999999</v>
      </c>
      <c r="H27" s="32">
        <f t="shared" si="3"/>
        <v>93416.86499999999</v>
      </c>
      <c r="I27" s="32">
        <f t="shared" si="3"/>
        <v>93416.86499999999</v>
      </c>
      <c r="J27" s="32">
        <f t="shared" si="3"/>
        <v>93416.86499999999</v>
      </c>
      <c r="K27" s="32">
        <f t="shared" si="3"/>
        <v>93416.86499999999</v>
      </c>
      <c r="L27" s="32">
        <f t="shared" si="3"/>
        <v>37771.44</v>
      </c>
      <c r="M27" s="32">
        <f t="shared" si="3"/>
        <v>37771.44</v>
      </c>
      <c r="N27" s="86">
        <f aca="true" t="shared" si="4" ref="N27:AE27">SUM(N25:N26)</f>
        <v>37771.44</v>
      </c>
      <c r="O27" s="86">
        <f t="shared" si="4"/>
        <v>37771.44</v>
      </c>
      <c r="P27" s="86">
        <f t="shared" si="4"/>
        <v>37771.44</v>
      </c>
      <c r="Q27" s="86">
        <f t="shared" si="4"/>
        <v>37771.44</v>
      </c>
      <c r="R27" s="86">
        <f t="shared" si="4"/>
        <v>37771.44</v>
      </c>
      <c r="S27" s="86">
        <f t="shared" si="4"/>
        <v>37771.44</v>
      </c>
      <c r="T27" s="86">
        <f t="shared" si="4"/>
        <v>37771.44</v>
      </c>
      <c r="U27" s="86">
        <f t="shared" si="4"/>
        <v>37771.44</v>
      </c>
      <c r="V27" s="86">
        <f t="shared" si="4"/>
        <v>37771.44</v>
      </c>
      <c r="W27" s="86">
        <f t="shared" si="4"/>
        <v>37771.44</v>
      </c>
      <c r="X27" s="86">
        <f t="shared" si="4"/>
        <v>37771.44</v>
      </c>
      <c r="Y27" s="86">
        <f t="shared" si="4"/>
        <v>37771.44</v>
      </c>
      <c r="Z27" s="86">
        <f t="shared" si="4"/>
        <v>37771.44</v>
      </c>
      <c r="AA27" s="86">
        <f t="shared" si="4"/>
        <v>37771.44</v>
      </c>
      <c r="AB27" s="86">
        <f t="shared" si="4"/>
        <v>37771.44</v>
      </c>
      <c r="AC27" s="86">
        <f t="shared" si="4"/>
        <v>37771.44</v>
      </c>
      <c r="AD27" s="86">
        <f t="shared" si="4"/>
        <v>37771.44</v>
      </c>
      <c r="AE27" s="86">
        <f t="shared" si="4"/>
        <v>18885.72</v>
      </c>
    </row>
    <row r="28" spans="1:4" ht="12.75">
      <c r="A28" t="s">
        <v>99</v>
      </c>
      <c r="B28" s="12">
        <v>0.08</v>
      </c>
      <c r="C28" s="10"/>
      <c r="D28" s="68">
        <f>NPV(B28,D27:AE27)</f>
        <v>735000.2004462178</v>
      </c>
    </row>
    <row r="30" spans="1:4" ht="12.75">
      <c r="A30" t="s">
        <v>100</v>
      </c>
      <c r="D30" s="68">
        <f>D28-D21</f>
        <v>141820.15173040028</v>
      </c>
    </row>
    <row r="32" spans="1:31" ht="12.75">
      <c r="A32" t="s">
        <v>101</v>
      </c>
      <c r="D32" s="10">
        <f>D27-D20</f>
        <v>39457.66499999999</v>
      </c>
      <c r="E32" s="10">
        <f aca="true" t="shared" si="5" ref="E32:AE32">E27-E20</f>
        <v>39457.66499999999</v>
      </c>
      <c r="F32" s="10">
        <f t="shared" si="5"/>
        <v>39457.66499999999</v>
      </c>
      <c r="G32" s="10">
        <f t="shared" si="5"/>
        <v>39457.66499999999</v>
      </c>
      <c r="H32" s="10">
        <f t="shared" si="5"/>
        <v>39457.66499999999</v>
      </c>
      <c r="I32" s="10">
        <f t="shared" si="5"/>
        <v>39457.66499999999</v>
      </c>
      <c r="J32" s="10">
        <f t="shared" si="5"/>
        <v>39457.66499999999</v>
      </c>
      <c r="K32" s="10">
        <f t="shared" si="5"/>
        <v>39457.66499999999</v>
      </c>
      <c r="L32" s="10">
        <f t="shared" si="5"/>
        <v>-16187.759999999995</v>
      </c>
      <c r="M32" s="10">
        <f t="shared" si="5"/>
        <v>-16187.759999999995</v>
      </c>
      <c r="N32" s="10">
        <f t="shared" si="5"/>
        <v>-16187.759999999995</v>
      </c>
      <c r="O32" s="10">
        <f t="shared" si="5"/>
        <v>-16187.759999999995</v>
      </c>
      <c r="P32" s="10">
        <f t="shared" si="5"/>
        <v>-16187.759999999995</v>
      </c>
      <c r="Q32" s="10">
        <f t="shared" si="5"/>
        <v>-16187.759999999995</v>
      </c>
      <c r="R32" s="10">
        <f t="shared" si="5"/>
        <v>-16187.759999999995</v>
      </c>
      <c r="S32" s="10">
        <f t="shared" si="5"/>
        <v>-16187.759999999995</v>
      </c>
      <c r="T32" s="10">
        <f t="shared" si="5"/>
        <v>-16187.759999999995</v>
      </c>
      <c r="U32" s="10">
        <f t="shared" si="5"/>
        <v>-16187.759999999995</v>
      </c>
      <c r="V32" s="10">
        <f t="shared" si="5"/>
        <v>-16187.759999999995</v>
      </c>
      <c r="W32" s="10">
        <f t="shared" si="5"/>
        <v>-16187.759999999995</v>
      </c>
      <c r="X32" s="10">
        <f t="shared" si="5"/>
        <v>-16187.759999999995</v>
      </c>
      <c r="Y32" s="10">
        <f t="shared" si="5"/>
        <v>-16187.759999999995</v>
      </c>
      <c r="Z32" s="10">
        <f t="shared" si="5"/>
        <v>-16187.759999999995</v>
      </c>
      <c r="AA32" s="10">
        <f t="shared" si="5"/>
        <v>-16187.759999999995</v>
      </c>
      <c r="AB32" s="10">
        <f t="shared" si="5"/>
        <v>-16187.759999999995</v>
      </c>
      <c r="AC32" s="10">
        <f t="shared" si="5"/>
        <v>-16187.759999999995</v>
      </c>
      <c r="AD32" s="10">
        <f t="shared" si="5"/>
        <v>-16187.759999999995</v>
      </c>
      <c r="AE32" s="10">
        <f t="shared" si="5"/>
        <v>-8093.879999999997</v>
      </c>
    </row>
    <row r="33" spans="1:4" ht="12.75">
      <c r="A33" t="s">
        <v>99</v>
      </c>
      <c r="B33" s="12">
        <v>0.08</v>
      </c>
      <c r="C33" s="10"/>
      <c r="D33" s="68">
        <f>NPV(B33,D32:AE32)</f>
        <v>141820.1517304001</v>
      </c>
    </row>
    <row r="34" spans="1:31" ht="12.75">
      <c r="A34" t="s">
        <v>102</v>
      </c>
      <c r="B34" s="77">
        <f>39.6%</f>
        <v>0.396</v>
      </c>
      <c r="D34" s="10">
        <f>$B$34*D32</f>
        <v>15625.235339999997</v>
      </c>
      <c r="E34" s="10">
        <f aca="true" t="shared" si="6" ref="E34:AE34">$B$34*E32</f>
        <v>15625.235339999997</v>
      </c>
      <c r="F34" s="10">
        <f t="shared" si="6"/>
        <v>15625.235339999997</v>
      </c>
      <c r="G34" s="10">
        <f t="shared" si="6"/>
        <v>15625.235339999997</v>
      </c>
      <c r="H34" s="10">
        <f t="shared" si="6"/>
        <v>15625.235339999997</v>
      </c>
      <c r="I34" s="10">
        <f t="shared" si="6"/>
        <v>15625.235339999997</v>
      </c>
      <c r="J34" s="10">
        <f t="shared" si="6"/>
        <v>15625.235339999997</v>
      </c>
      <c r="K34" s="10">
        <f t="shared" si="6"/>
        <v>15625.235339999997</v>
      </c>
      <c r="L34" s="10">
        <f t="shared" si="6"/>
        <v>-6410.352959999998</v>
      </c>
      <c r="M34" s="10">
        <f t="shared" si="6"/>
        <v>-6410.352959999998</v>
      </c>
      <c r="N34" s="10">
        <f t="shared" si="6"/>
        <v>-6410.352959999998</v>
      </c>
      <c r="O34" s="10">
        <f t="shared" si="6"/>
        <v>-6410.352959999998</v>
      </c>
      <c r="P34" s="10">
        <f t="shared" si="6"/>
        <v>-6410.352959999998</v>
      </c>
      <c r="Q34" s="10">
        <f t="shared" si="6"/>
        <v>-6410.352959999998</v>
      </c>
      <c r="R34" s="10">
        <f t="shared" si="6"/>
        <v>-6410.352959999998</v>
      </c>
      <c r="S34" s="10">
        <f t="shared" si="6"/>
        <v>-6410.352959999998</v>
      </c>
      <c r="T34" s="10">
        <f t="shared" si="6"/>
        <v>-6410.352959999998</v>
      </c>
      <c r="U34" s="10">
        <f t="shared" si="6"/>
        <v>-6410.352959999998</v>
      </c>
      <c r="V34" s="10">
        <f t="shared" si="6"/>
        <v>-6410.352959999998</v>
      </c>
      <c r="W34" s="10">
        <f t="shared" si="6"/>
        <v>-6410.352959999998</v>
      </c>
      <c r="X34" s="10">
        <f t="shared" si="6"/>
        <v>-6410.352959999998</v>
      </c>
      <c r="Y34" s="10">
        <f t="shared" si="6"/>
        <v>-6410.352959999998</v>
      </c>
      <c r="Z34" s="10">
        <f t="shared" si="6"/>
        <v>-6410.352959999998</v>
      </c>
      <c r="AA34" s="10">
        <f t="shared" si="6"/>
        <v>-6410.352959999998</v>
      </c>
      <c r="AB34" s="10">
        <f t="shared" si="6"/>
        <v>-6410.352959999998</v>
      </c>
      <c r="AC34" s="10">
        <f t="shared" si="6"/>
        <v>-6410.352959999998</v>
      </c>
      <c r="AD34" s="10">
        <f t="shared" si="6"/>
        <v>-6410.352959999998</v>
      </c>
      <c r="AE34" s="10">
        <f t="shared" si="6"/>
        <v>-3205.176479999999</v>
      </c>
    </row>
    <row r="35" spans="1:4" ht="12.75">
      <c r="A35" s="2" t="s">
        <v>99</v>
      </c>
      <c r="B35" s="78">
        <v>0.08</v>
      </c>
      <c r="C35" s="41"/>
      <c r="D35" s="79">
        <f>NPV(B35,D34:AE34)</f>
        <v>56160.7800852384</v>
      </c>
    </row>
    <row r="37" ht="12.75">
      <c r="A37" s="2" t="s">
        <v>103</v>
      </c>
    </row>
    <row r="38" spans="1:13" ht="12.75">
      <c r="A38" t="s">
        <v>101</v>
      </c>
      <c r="D38" s="10">
        <f aca="true" t="shared" si="7" ref="D38:M38">D27-D20</f>
        <v>39457.66499999999</v>
      </c>
      <c r="E38" s="10">
        <f t="shared" si="7"/>
        <v>39457.66499999999</v>
      </c>
      <c r="F38" s="10">
        <f t="shared" si="7"/>
        <v>39457.66499999999</v>
      </c>
      <c r="G38" s="10">
        <f t="shared" si="7"/>
        <v>39457.66499999999</v>
      </c>
      <c r="H38" s="10">
        <f t="shared" si="7"/>
        <v>39457.66499999999</v>
      </c>
      <c r="I38" s="10">
        <f t="shared" si="7"/>
        <v>39457.66499999999</v>
      </c>
      <c r="J38" s="10">
        <f t="shared" si="7"/>
        <v>39457.66499999999</v>
      </c>
      <c r="K38" s="10">
        <f t="shared" si="7"/>
        <v>39457.66499999999</v>
      </c>
      <c r="L38" s="10">
        <f t="shared" si="7"/>
        <v>-16187.759999999995</v>
      </c>
      <c r="M38" s="10">
        <f t="shared" si="7"/>
        <v>-16187.759999999995</v>
      </c>
    </row>
    <row r="39" spans="1:13" ht="12.75">
      <c r="A39" s="25" t="s">
        <v>104</v>
      </c>
      <c r="D39" s="10">
        <f>D38</f>
        <v>39457.66499999999</v>
      </c>
      <c r="E39" s="10">
        <f aca="true" t="shared" si="8" ref="E39:M39">D39+E38</f>
        <v>78915.32999999999</v>
      </c>
      <c r="F39" s="10">
        <f t="shared" si="8"/>
        <v>118372.99499999998</v>
      </c>
      <c r="G39" s="10">
        <f t="shared" si="8"/>
        <v>157830.65999999997</v>
      </c>
      <c r="H39" s="10">
        <f t="shared" si="8"/>
        <v>197288.32499999995</v>
      </c>
      <c r="I39" s="10">
        <f t="shared" si="8"/>
        <v>236745.98999999993</v>
      </c>
      <c r="J39" s="10">
        <f t="shared" si="8"/>
        <v>276203.6549999999</v>
      </c>
      <c r="K39" s="10">
        <f t="shared" si="8"/>
        <v>315661.3199999999</v>
      </c>
      <c r="L39" s="10">
        <f t="shared" si="8"/>
        <v>299473.5599999999</v>
      </c>
      <c r="M39" s="10">
        <f t="shared" si="8"/>
        <v>283285.7999999999</v>
      </c>
    </row>
    <row r="40" spans="1:13" ht="12.75">
      <c r="A40" s="25" t="s">
        <v>105</v>
      </c>
      <c r="B40" s="12">
        <v>0.25</v>
      </c>
      <c r="M40" s="10">
        <f>-$B$40*M39</f>
        <v>-70821.44999999997</v>
      </c>
    </row>
    <row r="41" spans="1:13" ht="12.75">
      <c r="A41" s="25" t="s">
        <v>106</v>
      </c>
      <c r="D41" s="10">
        <f>D38+D40</f>
        <v>39457.66499999999</v>
      </c>
      <c r="E41" s="10">
        <f aca="true" t="shared" si="9" ref="E41:M41">E38+E40</f>
        <v>39457.66499999999</v>
      </c>
      <c r="F41" s="10">
        <f t="shared" si="9"/>
        <v>39457.66499999999</v>
      </c>
      <c r="G41" s="10">
        <f t="shared" si="9"/>
        <v>39457.66499999999</v>
      </c>
      <c r="H41" s="10">
        <f t="shared" si="9"/>
        <v>39457.66499999999</v>
      </c>
      <c r="I41" s="10">
        <f t="shared" si="9"/>
        <v>39457.66499999999</v>
      </c>
      <c r="J41" s="10">
        <f t="shared" si="9"/>
        <v>39457.66499999999</v>
      </c>
      <c r="K41" s="10">
        <f t="shared" si="9"/>
        <v>39457.66499999999</v>
      </c>
      <c r="L41" s="10">
        <f t="shared" si="9"/>
        <v>-16187.759999999995</v>
      </c>
      <c r="M41" s="10">
        <f t="shared" si="9"/>
        <v>-87009.20999999996</v>
      </c>
    </row>
    <row r="42" spans="1:4" ht="12.75">
      <c r="A42" t="s">
        <v>99</v>
      </c>
      <c r="B42" s="12">
        <v>0.08</v>
      </c>
      <c r="C42" s="10"/>
      <c r="D42" s="68">
        <f>NPV(B42,D41:M41)</f>
        <v>178348.94462190196</v>
      </c>
    </row>
    <row r="43" spans="1:13" ht="12.75">
      <c r="A43" t="s">
        <v>102</v>
      </c>
      <c r="B43" s="80">
        <f>B34</f>
        <v>0.396</v>
      </c>
      <c r="D43" s="10">
        <f>$B$43*D41</f>
        <v>15625.235339999997</v>
      </c>
      <c r="E43" s="10">
        <f aca="true" t="shared" si="10" ref="E43:M43">$B$43*E41</f>
        <v>15625.235339999997</v>
      </c>
      <c r="F43" s="10">
        <f t="shared" si="10"/>
        <v>15625.235339999997</v>
      </c>
      <c r="G43" s="10">
        <f t="shared" si="10"/>
        <v>15625.235339999997</v>
      </c>
      <c r="H43" s="10">
        <f t="shared" si="10"/>
        <v>15625.235339999997</v>
      </c>
      <c r="I43" s="10">
        <f t="shared" si="10"/>
        <v>15625.235339999997</v>
      </c>
      <c r="J43" s="10">
        <f t="shared" si="10"/>
        <v>15625.235339999997</v>
      </c>
      <c r="K43" s="10">
        <f t="shared" si="10"/>
        <v>15625.235339999997</v>
      </c>
      <c r="L43" s="10">
        <f t="shared" si="10"/>
        <v>-6410.352959999998</v>
      </c>
      <c r="M43" s="10">
        <f t="shared" si="10"/>
        <v>-34455.647159999986</v>
      </c>
    </row>
    <row r="44" spans="1:4" ht="12.75">
      <c r="A44" s="2" t="s">
        <v>99</v>
      </c>
      <c r="B44" s="78">
        <v>0.08</v>
      </c>
      <c r="C44" s="41"/>
      <c r="D44" s="79">
        <f>NPV(B44,D43:M43)</f>
        <v>70626.18207027318</v>
      </c>
    </row>
  </sheetData>
  <printOptions/>
  <pageMargins left="0.5" right="0.5" top="0.42" bottom="0.76" header="0.5" footer="0.34"/>
  <pageSetup fitToWidth="2" horizontalDpi="300" verticalDpi="300" orientation="landscape" paperSize="5" scale="90" r:id="rId2"/>
  <headerFooter alignWithMargins="0">
    <oddFooter>&amp;L&amp;F, &amp;A&amp;CPage &amp;P of &amp;N&amp;R&amp;D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Lawson Companies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Lawson</dc:creator>
  <cp:keywords/>
  <dc:description/>
  <cp:lastModifiedBy>JLavorel</cp:lastModifiedBy>
  <cp:lastPrinted>2001-10-31T18:59:17Z</cp:lastPrinted>
  <dcterms:created xsi:type="dcterms:W3CDTF">2001-05-09T13:58:34Z</dcterms:created>
  <dcterms:modified xsi:type="dcterms:W3CDTF">2001-11-14T15:17:51Z</dcterms:modified>
  <cp:category/>
  <cp:version/>
  <cp:contentType/>
  <cp:contentStatus/>
</cp:coreProperties>
</file>